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615" yWindow="90" windowWidth="10155" windowHeight="7050" activeTab="1"/>
  </bookViews>
  <sheets>
    <sheet name="Notes" sheetId="1" r:id="rId1"/>
    <sheet name="Input Data" sheetId="2" r:id="rId2"/>
    <sheet name="Worked Example" sheetId="13" r:id="rId3"/>
    <sheet name="Civ_Struct_Eng_Tax Invoice " sheetId="3" r:id="rId4"/>
    <sheet name="Scales" sheetId="6" r:id="rId5"/>
    <sheet name="WTW Input" sheetId="4" r:id="rId6"/>
    <sheet name="Worked Example(WTW)" sheetId="14" r:id="rId7"/>
    <sheet name="WTW Calculations" sheetId="5" r:id="rId8"/>
    <sheet name="Previous Payments" sheetId="7" r:id="rId9"/>
    <sheet name="Time Based" sheetId="10" r:id="rId10"/>
    <sheet name="Travelling &amp; Subsistence" sheetId="8" r:id="rId11"/>
    <sheet name="Typing, Duplicating, &amp; Printing" sheetId="9" r:id="rId12"/>
    <sheet name="Site staff &amp; Other" sheetId="11" r:id="rId13"/>
    <sheet name="Non Taxable" sheetId="12" r:id="rId14"/>
  </sheets>
  <definedNames>
    <definedName name="_xlnm.Print_Area" localSheetId="3">'Civ_Struct_Eng_Tax Invoice '!$A$1:$Q$178</definedName>
    <definedName name="_xlnm.Print_Area" localSheetId="1">'Input Data'!$A$1:$H$59</definedName>
    <definedName name="_xlnm.Print_Area" localSheetId="0">Notes!$A$1:$B$66</definedName>
    <definedName name="_xlnm.Print_Area" localSheetId="12">'Site staff &amp; Other'!$A$1:$H$61</definedName>
    <definedName name="_xlnm.Print_Area" localSheetId="9">'Time Based'!$A$1:$H$77</definedName>
    <definedName name="_xlnm.Print_Area" localSheetId="10">'Travelling &amp; Subsistence'!$A$1:$I$61</definedName>
    <definedName name="_xlnm.Print_Area" localSheetId="2">'Worked Example'!$A$1:$H$60</definedName>
    <definedName name="_xlnm.Print_Area" localSheetId="6">'Worked Example(WTW)'!$A$1:$H$28</definedName>
    <definedName name="_xlnm.Print_Area" localSheetId="7">'WTW Calculations'!$A$1:$S$57</definedName>
    <definedName name="_xlnm.Print_Area" localSheetId="5">'WTW Input'!$A$1:$H$28</definedName>
    <definedName name="_xlnm.Print_Titles" localSheetId="3">'Civ_Struct_Eng_Tax Invoice '!$1:$6</definedName>
    <definedName name="_xlnm.Print_Titles" localSheetId="1">'Input Data'!$1:$5</definedName>
    <definedName name="_xlnm.Print_Titles" localSheetId="2">'Worked Example'!$1:$5</definedName>
    <definedName name="_xlnm.Print_Titles" localSheetId="7">'WTW Calculations'!$6:$13</definedName>
    <definedName name="SCALE_2012SE1">Scales!$B$3:$E$10</definedName>
    <definedName name="SCALE_2012SE2">Scales!$B$14:$E$21</definedName>
    <definedName name="Z_F2EF8C40_5F38_4711_A114_3A47916B87AA_.wvu.PrintArea" localSheetId="3" hidden="1">'Civ_Struct_Eng_Tax Invoice '!$A$1:$Q$111</definedName>
    <definedName name="Z_F2EF8C40_5F38_4711_A114_3A47916B87AA_.wvu.PrintArea" localSheetId="1" hidden="1">'Input Data'!$A$1:$H$59</definedName>
    <definedName name="Z_F2EF8C40_5F38_4711_A114_3A47916B87AA_.wvu.PrintArea" localSheetId="12" hidden="1">'Site staff &amp; Other'!$A$1:$H$60</definedName>
    <definedName name="Z_F2EF8C40_5F38_4711_A114_3A47916B87AA_.wvu.PrintArea" localSheetId="9" hidden="1">'Time Based'!$A$1:$H$76</definedName>
    <definedName name="Z_F2EF8C40_5F38_4711_A114_3A47916B87AA_.wvu.PrintArea" localSheetId="10" hidden="1">'Travelling &amp; Subsistence'!$A$1:$I$60</definedName>
    <definedName name="Z_F2EF8C40_5F38_4711_A114_3A47916B87AA_.wvu.PrintArea" localSheetId="2" hidden="1">'Worked Example'!$A$1:$H$60</definedName>
    <definedName name="Z_F2EF8C40_5F38_4711_A114_3A47916B87AA_.wvu.PrintTitles" localSheetId="3" hidden="1">'Civ_Struct_Eng_Tax Invoice '!$2:$6</definedName>
    <definedName name="Z_F2EF8C40_5F38_4711_A114_3A47916B87AA_.wvu.PrintTitles" localSheetId="7" hidden="1">'WTW Calculations'!$6:$13</definedName>
  </definedNames>
  <calcPr calcId="144525" fullCalcOnLoad="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F31" i="2" l="1"/>
  <c r="E38" i="2"/>
  <c r="E9" i="2"/>
  <c r="H50" i="2" s="1"/>
  <c r="H39" i="2"/>
  <c r="H40" i="2"/>
  <c r="H41" i="2"/>
  <c r="H42" i="2"/>
  <c r="H43" i="2"/>
  <c r="H44" i="2"/>
  <c r="H45" i="2"/>
  <c r="H46" i="2"/>
  <c r="H54" i="2"/>
  <c r="H55" i="2"/>
  <c r="H56" i="2"/>
  <c r="H57" i="2"/>
  <c r="H51" i="2"/>
  <c r="Q20" i="3"/>
  <c r="O150" i="3"/>
  <c r="I6" i="6"/>
  <c r="K6" i="6"/>
  <c r="I5" i="6"/>
  <c r="K5" i="6"/>
  <c r="L5" i="6"/>
  <c r="L6" i="6"/>
  <c r="I7" i="6"/>
  <c r="K7" i="6"/>
  <c r="L7" i="6"/>
  <c r="M150" i="3"/>
  <c r="Q150" i="3"/>
  <c r="E9" i="13"/>
  <c r="E3" i="13"/>
  <c r="E2" i="2"/>
  <c r="E3" i="2"/>
  <c r="B11" i="14"/>
  <c r="D4" i="14"/>
  <c r="C3" i="6"/>
  <c r="H36" i="2" s="1"/>
  <c r="H36" i="13" s="1"/>
  <c r="A49" i="1"/>
  <c r="A51" i="1"/>
  <c r="A53" i="1"/>
  <c r="A55" i="1"/>
  <c r="A57" i="1"/>
  <c r="A59" i="1"/>
  <c r="A61" i="1"/>
  <c r="A63" i="1"/>
  <c r="A65" i="1"/>
  <c r="C32" i="2"/>
  <c r="E9" i="14"/>
  <c r="C8" i="14"/>
  <c r="H3" i="14"/>
  <c r="A21" i="13"/>
  <c r="D20" i="13"/>
  <c r="E20" i="2"/>
  <c r="H26" i="4"/>
  <c r="H27" i="4"/>
  <c r="H28" i="4"/>
  <c r="G56" i="2"/>
  <c r="O169" i="3"/>
  <c r="Q72" i="3"/>
  <c r="O71" i="3"/>
  <c r="M120" i="3"/>
  <c r="I123" i="3"/>
  <c r="M123" i="3"/>
  <c r="I126" i="3"/>
  <c r="M126" i="3"/>
  <c r="I129" i="3"/>
  <c r="M129" i="3"/>
  <c r="G132" i="3"/>
  <c r="I132" i="3"/>
  <c r="M132" i="3"/>
  <c r="G135" i="3"/>
  <c r="I135" i="3"/>
  <c r="M135" i="3"/>
  <c r="G138" i="3"/>
  <c r="I138" i="3"/>
  <c r="M138" i="3"/>
  <c r="E141" i="3"/>
  <c r="G141" i="3"/>
  <c r="I141" i="3"/>
  <c r="M141" i="3"/>
  <c r="H14" i="4"/>
  <c r="O23" i="5"/>
  <c r="H15" i="4"/>
  <c r="K26" i="5"/>
  <c r="O26" i="5"/>
  <c r="H16" i="4"/>
  <c r="K29" i="5"/>
  <c r="O29" i="5"/>
  <c r="H17" i="4"/>
  <c r="K32" i="5"/>
  <c r="O32" i="5"/>
  <c r="H18" i="4"/>
  <c r="I35" i="5"/>
  <c r="K35" i="5"/>
  <c r="O35" i="5"/>
  <c r="H19" i="4"/>
  <c r="I38" i="5"/>
  <c r="K38" i="5"/>
  <c r="O38" i="5"/>
  <c r="H20" i="4"/>
  <c r="I41" i="5"/>
  <c r="K41" i="5"/>
  <c r="O41" i="5"/>
  <c r="H21" i="4"/>
  <c r="G44" i="5"/>
  <c r="I44" i="5"/>
  <c r="K44" i="5"/>
  <c r="O44" i="5"/>
  <c r="Q157" i="3"/>
  <c r="Q160" i="3"/>
  <c r="S55" i="5"/>
  <c r="O172" i="3"/>
  <c r="M172" i="3"/>
  <c r="Q172" i="3"/>
  <c r="K169" i="3"/>
  <c r="M169" i="3"/>
  <c r="Q169" i="3"/>
  <c r="K176" i="3"/>
  <c r="M176" i="3"/>
  <c r="K2"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K5" i="7"/>
  <c r="K6" i="7"/>
  <c r="M6" i="7"/>
  <c r="K7" i="7"/>
  <c r="M7" i="7"/>
  <c r="K8" i="7"/>
  <c r="M8" i="7"/>
  <c r="K9" i="7"/>
  <c r="M9" i="7"/>
  <c r="K10" i="7"/>
  <c r="M10" i="7"/>
  <c r="K11" i="7"/>
  <c r="M11" i="7"/>
  <c r="K12" i="7"/>
  <c r="M12" i="7"/>
  <c r="K13" i="7"/>
  <c r="M13" i="7"/>
  <c r="K14" i="7"/>
  <c r="M14" i="7"/>
  <c r="K15" i="7"/>
  <c r="M15" i="7"/>
  <c r="K16" i="7"/>
  <c r="M16" i="7"/>
  <c r="K17" i="7"/>
  <c r="M17" i="7"/>
  <c r="K18" i="7"/>
  <c r="M18" i="7"/>
  <c r="K19" i="7"/>
  <c r="M19" i="7"/>
  <c r="K20" i="7"/>
  <c r="M20" i="7"/>
  <c r="K21" i="7"/>
  <c r="M21" i="7"/>
  <c r="K22" i="7"/>
  <c r="M22" i="7"/>
  <c r="K23" i="7"/>
  <c r="M23" i="7"/>
  <c r="K24" i="7"/>
  <c r="M24" i="7"/>
  <c r="K25" i="7"/>
  <c r="M25" i="7"/>
  <c r="K26" i="7"/>
  <c r="M26" i="7"/>
  <c r="K27" i="7"/>
  <c r="M27" i="7"/>
  <c r="K28" i="7"/>
  <c r="M28" i="7"/>
  <c r="K29" i="7"/>
  <c r="M29" i="7"/>
  <c r="K30" i="7"/>
  <c r="M30" i="7"/>
  <c r="K31" i="7"/>
  <c r="M31" i="7"/>
  <c r="K32" i="7"/>
  <c r="M32" i="7"/>
  <c r="K33" i="7"/>
  <c r="M33" i="7"/>
  <c r="K34" i="7"/>
  <c r="M34" i="7"/>
  <c r="K35" i="7"/>
  <c r="M35" i="7"/>
  <c r="K36" i="7"/>
  <c r="M36" i="7"/>
  <c r="K37" i="7"/>
  <c r="M37" i="7"/>
  <c r="K38" i="7"/>
  <c r="M38" i="7"/>
  <c r="K39" i="7"/>
  <c r="M39" i="7"/>
  <c r="K40" i="7"/>
  <c r="M40" i="7"/>
  <c r="K41" i="7"/>
  <c r="M41" i="7"/>
  <c r="K42" i="7"/>
  <c r="O108" i="3"/>
  <c r="C31" i="2"/>
  <c r="Q75" i="3"/>
  <c r="M44" i="5"/>
  <c r="M41" i="5"/>
  <c r="M38" i="5"/>
  <c r="M35" i="5"/>
  <c r="M32" i="5"/>
  <c r="M29" i="5"/>
  <c r="M26" i="5"/>
  <c r="M23" i="5"/>
  <c r="K146" i="3"/>
  <c r="K141" i="3"/>
  <c r="K138" i="3"/>
  <c r="K135" i="3"/>
  <c r="K132" i="3"/>
  <c r="K129" i="3"/>
  <c r="K126" i="3"/>
  <c r="K123" i="3"/>
  <c r="K120" i="3"/>
  <c r="I75" i="3"/>
  <c r="G10" i="13"/>
  <c r="E10" i="13"/>
  <c r="I14" i="6"/>
  <c r="G10" i="2"/>
  <c r="E10" i="2"/>
  <c r="H3" i="13"/>
  <c r="H4" i="14"/>
  <c r="Q86" i="3"/>
  <c r="I18" i="12"/>
  <c r="I20" i="12"/>
  <c r="Q89" i="3"/>
  <c r="O110" i="3"/>
  <c r="O109" i="3"/>
  <c r="E22" i="4"/>
  <c r="E47" i="2" s="1"/>
  <c r="G22" i="4"/>
  <c r="G47" i="2"/>
  <c r="M161" i="3"/>
  <c r="I160" i="3"/>
  <c r="K160" i="3"/>
  <c r="M160" i="3"/>
  <c r="M157" i="3"/>
  <c r="M158" i="3"/>
  <c r="K157" i="3"/>
  <c r="C14" i="6"/>
  <c r="H12" i="10"/>
  <c r="O50" i="5"/>
  <c r="O51" i="5"/>
  <c r="Q50" i="5"/>
  <c r="M50" i="5"/>
  <c r="S50" i="5"/>
  <c r="K53" i="5"/>
  <c r="O53" i="5"/>
  <c r="O54" i="5"/>
  <c r="Q53" i="5"/>
  <c r="M53" i="5"/>
  <c r="S53" i="5"/>
  <c r="F22" i="4"/>
  <c r="L2" i="3"/>
  <c r="F8" i="4"/>
  <c r="K150" i="3"/>
  <c r="K165" i="3"/>
  <c r="H58" i="2"/>
  <c r="Q165" i="3"/>
  <c r="Q58" i="3"/>
  <c r="M165" i="3"/>
  <c r="M166" i="3"/>
  <c r="H59" i="2"/>
  <c r="K75" i="3"/>
  <c r="E75" i="3"/>
  <c r="G75" i="3"/>
  <c r="M75" i="3"/>
  <c r="H27" i="10"/>
  <c r="G7" i="8"/>
  <c r="I7" i="8"/>
  <c r="H43" i="10"/>
  <c r="H61" i="10"/>
  <c r="I24" i="8"/>
  <c r="I46" i="8"/>
  <c r="I57" i="8"/>
  <c r="I8" i="9"/>
  <c r="I19" i="9"/>
  <c r="I32" i="9"/>
  <c r="I43" i="9"/>
  <c r="H7" i="11"/>
  <c r="H8" i="11"/>
  <c r="H9" i="11"/>
  <c r="H10" i="11"/>
  <c r="H11" i="11"/>
  <c r="H12" i="11"/>
  <c r="H13" i="11"/>
  <c r="H14" i="11"/>
  <c r="H15" i="11"/>
  <c r="H16" i="11"/>
  <c r="H17" i="11"/>
  <c r="H21" i="11"/>
  <c r="H22" i="11"/>
  <c r="H23" i="11"/>
  <c r="H24" i="11"/>
  <c r="H25" i="11"/>
  <c r="H26" i="11"/>
  <c r="H27" i="11"/>
  <c r="H28" i="11"/>
  <c r="H29" i="11"/>
  <c r="H30" i="11"/>
  <c r="H31" i="11"/>
  <c r="H35" i="11"/>
  <c r="H36" i="11"/>
  <c r="H37" i="11"/>
  <c r="H38" i="11"/>
  <c r="H39" i="11"/>
  <c r="H40" i="11"/>
  <c r="H41" i="11"/>
  <c r="H42" i="11"/>
  <c r="H43" i="11"/>
  <c r="H44" i="11"/>
  <c r="H45" i="11"/>
  <c r="H49" i="11"/>
  <c r="H56" i="11"/>
  <c r="H58" i="11"/>
  <c r="H60" i="11"/>
  <c r="Q82" i="3"/>
  <c r="K110" i="3"/>
  <c r="H78" i="10"/>
  <c r="C108" i="3"/>
  <c r="I61" i="8"/>
  <c r="F108" i="3"/>
  <c r="I60" i="9"/>
  <c r="I108" i="3"/>
  <c r="H59" i="11"/>
  <c r="H61" i="11"/>
  <c r="K108" i="3" s="1"/>
  <c r="C42" i="7"/>
  <c r="J5" i="7"/>
  <c r="J42" i="7"/>
  <c r="Q111" i="3"/>
  <c r="Q64" i="3"/>
  <c r="G49" i="2"/>
  <c r="E17" i="2"/>
  <c r="C15" i="3"/>
  <c r="H4" i="3"/>
  <c r="Q61" i="3"/>
  <c r="Q54" i="3"/>
  <c r="Q52" i="3"/>
  <c r="Q43" i="3"/>
  <c r="S3" i="5"/>
  <c r="H4" i="4"/>
  <c r="C5" i="5"/>
  <c r="E9" i="4"/>
  <c r="A23" i="4"/>
  <c r="F47" i="2"/>
  <c r="L20" i="3"/>
  <c r="L19" i="3"/>
  <c r="A19" i="3"/>
  <c r="B19" i="3"/>
  <c r="C10" i="4"/>
  <c r="C10" i="5"/>
  <c r="Q2" i="3"/>
  <c r="I6" i="5"/>
  <c r="C3" i="12"/>
  <c r="C3" i="11"/>
  <c r="D3" i="10"/>
  <c r="B3" i="9"/>
  <c r="E3" i="9"/>
  <c r="F3" i="8"/>
  <c r="C3" i="8"/>
  <c r="D2" i="7"/>
  <c r="B11" i="4"/>
  <c r="H3" i="4"/>
  <c r="S5" i="5"/>
  <c r="B8" i="5"/>
  <c r="C12" i="5"/>
  <c r="O18" i="3"/>
  <c r="Q16" i="3"/>
  <c r="N17" i="3"/>
  <c r="Q17" i="3"/>
  <c r="Q14" i="3"/>
  <c r="Q13" i="3"/>
  <c r="P12" i="3"/>
  <c r="B17" i="3"/>
  <c r="B16" i="3"/>
  <c r="O15" i="3"/>
  <c r="B14" i="3"/>
  <c r="B13" i="3"/>
  <c r="B12" i="3"/>
  <c r="P6" i="3"/>
  <c r="J10" i="3"/>
  <c r="M10" i="3"/>
  <c r="O10" i="3"/>
  <c r="Q9" i="3"/>
  <c r="Q8" i="3"/>
  <c r="Q7" i="3"/>
  <c r="O9" i="3"/>
  <c r="M9" i="3"/>
  <c r="M8" i="3"/>
  <c r="M7" i="3"/>
  <c r="M6" i="3"/>
  <c r="B10" i="3"/>
  <c r="B9" i="3"/>
  <c r="B8" i="3"/>
  <c r="B7" i="3"/>
  <c r="B6" i="3"/>
  <c r="Q3" i="3"/>
  <c r="P4" i="3"/>
  <c r="M3" i="3"/>
  <c r="B5" i="3"/>
  <c r="B4" i="3"/>
  <c r="E18" i="2"/>
  <c r="G48" i="2"/>
  <c r="F48" i="2"/>
  <c r="G57" i="2"/>
  <c r="S15" i="5"/>
  <c r="B6" i="5"/>
  <c r="K3" i="5"/>
  <c r="I2" i="5"/>
  <c r="G3" i="12"/>
  <c r="E42" i="7"/>
  <c r="L5" i="7"/>
  <c r="M5" i="7"/>
  <c r="M42" i="7"/>
  <c r="I42" i="7"/>
  <c r="M108" i="3"/>
  <c r="L42"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F2" i="7"/>
  <c r="F3" i="11"/>
  <c r="A60" i="11"/>
  <c r="G8" i="8"/>
  <c r="I8" i="8"/>
  <c r="G9" i="8"/>
  <c r="I9" i="8"/>
  <c r="I17" i="8" s="1"/>
  <c r="Q76" i="3" s="1"/>
  <c r="G10" i="8"/>
  <c r="I10" i="8"/>
  <c r="G11" i="8"/>
  <c r="I11" i="8"/>
  <c r="G12" i="8"/>
  <c r="I12" i="8"/>
  <c r="G13" i="8"/>
  <c r="I13" i="8"/>
  <c r="G14" i="8"/>
  <c r="I14" i="8"/>
  <c r="G15" i="8"/>
  <c r="I15" i="8"/>
  <c r="G16" i="8"/>
  <c r="I16" i="8"/>
  <c r="H62" i="10"/>
  <c r="H63" i="10"/>
  <c r="H75" i="10" s="1"/>
  <c r="H64" i="10"/>
  <c r="H65" i="10"/>
  <c r="H66" i="10"/>
  <c r="H67" i="10"/>
  <c r="H68" i="10"/>
  <c r="H69" i="10"/>
  <c r="H70" i="10"/>
  <c r="H71" i="10"/>
  <c r="H72" i="10"/>
  <c r="H73" i="10"/>
  <c r="H74" i="10"/>
  <c r="H44" i="10"/>
  <c r="H45" i="10"/>
  <c r="H57" i="10" s="1"/>
  <c r="H46" i="10"/>
  <c r="H47" i="10"/>
  <c r="H48" i="10"/>
  <c r="H49" i="10"/>
  <c r="H50" i="10"/>
  <c r="H51" i="10"/>
  <c r="H52" i="10"/>
  <c r="H53" i="10"/>
  <c r="H54" i="10"/>
  <c r="H55" i="10"/>
  <c r="H56" i="10"/>
  <c r="M2" i="3"/>
  <c r="I44" i="9"/>
  <c r="I45" i="9"/>
  <c r="I56" i="9" s="1"/>
  <c r="I46" i="9"/>
  <c r="I47" i="9"/>
  <c r="I48" i="9"/>
  <c r="I49" i="9"/>
  <c r="I50" i="9"/>
  <c r="I51" i="9"/>
  <c r="I52" i="9"/>
  <c r="I53" i="9"/>
  <c r="I54" i="9"/>
  <c r="I55" i="9"/>
  <c r="I33" i="9"/>
  <c r="I34" i="9"/>
  <c r="I39" i="9" s="1"/>
  <c r="I35" i="9"/>
  <c r="I36" i="9"/>
  <c r="I37" i="9"/>
  <c r="I38" i="9"/>
  <c r="I20" i="9"/>
  <c r="I21" i="9"/>
  <c r="I28" i="9" s="1"/>
  <c r="I22" i="9"/>
  <c r="I23" i="9"/>
  <c r="I24" i="9"/>
  <c r="I25" i="9"/>
  <c r="I26" i="9"/>
  <c r="I27" i="9"/>
  <c r="I9" i="9"/>
  <c r="I10" i="9"/>
  <c r="I15" i="9" s="1"/>
  <c r="I11" i="9"/>
  <c r="I12" i="9"/>
  <c r="I13" i="9"/>
  <c r="I14" i="9"/>
  <c r="I25" i="8"/>
  <c r="I26" i="8"/>
  <c r="I34" i="8" s="1"/>
  <c r="I60" i="8" s="1"/>
  <c r="Q80" i="3" s="1"/>
  <c r="I27" i="8"/>
  <c r="I28" i="8"/>
  <c r="I29" i="8"/>
  <c r="I30" i="8"/>
  <c r="I31" i="8"/>
  <c r="I32" i="8"/>
  <c r="I33" i="8"/>
  <c r="H28" i="10"/>
  <c r="H29" i="10"/>
  <c r="H38" i="10" s="1"/>
  <c r="H30" i="10"/>
  <c r="H31" i="10"/>
  <c r="H32" i="10"/>
  <c r="H33" i="10"/>
  <c r="H34" i="10"/>
  <c r="H35" i="10"/>
  <c r="H36" i="10"/>
  <c r="H37" i="10"/>
  <c r="H13" i="10"/>
  <c r="H14" i="10"/>
  <c r="H22" i="10" s="1"/>
  <c r="H15" i="10"/>
  <c r="H16" i="10"/>
  <c r="H17" i="10"/>
  <c r="H18" i="10"/>
  <c r="H19" i="10"/>
  <c r="H20" i="10"/>
  <c r="H21" i="10"/>
  <c r="F3" i="10"/>
  <c r="H22" i="4"/>
  <c r="C8" i="4"/>
  <c r="D4" i="4"/>
  <c r="D3" i="4"/>
  <c r="G28" i="4"/>
  <c r="F49" i="2"/>
  <c r="A49" i="2"/>
  <c r="M121" i="3"/>
  <c r="M124" i="3"/>
  <c r="M127" i="3"/>
  <c r="M130" i="3"/>
  <c r="M133" i="3"/>
  <c r="M136" i="3"/>
  <c r="M139" i="3"/>
  <c r="M142" i="3"/>
  <c r="S23" i="5"/>
  <c r="S26" i="5"/>
  <c r="S29" i="5"/>
  <c r="S32" i="5"/>
  <c r="S35" i="5"/>
  <c r="S38" i="5"/>
  <c r="S41" i="5"/>
  <c r="S44" i="5"/>
  <c r="O24" i="5"/>
  <c r="O27" i="5"/>
  <c r="O30" i="5"/>
  <c r="O33" i="5"/>
  <c r="O36" i="5"/>
  <c r="O39" i="5"/>
  <c r="O42" i="5"/>
  <c r="O45" i="5"/>
  <c r="O120" i="3"/>
  <c r="Q120" i="3"/>
  <c r="O123" i="3"/>
  <c r="Q123" i="3"/>
  <c r="O126" i="3"/>
  <c r="Q126" i="3"/>
  <c r="O129" i="3"/>
  <c r="Q129" i="3"/>
  <c r="O132" i="3"/>
  <c r="Q132" i="3"/>
  <c r="O135" i="3"/>
  <c r="Q135" i="3"/>
  <c r="O138" i="3"/>
  <c r="Q138" i="3"/>
  <c r="O141" i="3"/>
  <c r="Q141" i="3"/>
  <c r="Q23" i="5"/>
  <c r="Q26" i="5"/>
  <c r="Q29" i="5"/>
  <c r="Q32" i="5"/>
  <c r="Q35" i="5"/>
  <c r="Q38" i="5"/>
  <c r="Q41" i="5"/>
  <c r="Q44" i="5"/>
  <c r="O160" i="3"/>
  <c r="O157" i="3"/>
  <c r="Q23" i="3"/>
  <c r="Q25" i="3"/>
  <c r="Q27" i="3"/>
  <c r="Q29" i="3"/>
  <c r="Q31" i="3"/>
  <c r="Q33" i="3"/>
  <c r="Q35" i="3"/>
  <c r="Q37" i="3"/>
  <c r="F110" i="3" l="1"/>
  <c r="F109" i="3" s="1"/>
  <c r="I59" i="9"/>
  <c r="Q81" i="3" s="1"/>
  <c r="I110" i="3" s="1"/>
  <c r="I109" i="3" s="1"/>
  <c r="H77" i="10"/>
  <c r="Q77" i="3" s="1"/>
  <c r="K109" i="3"/>
  <c r="B108" i="3"/>
  <c r="Q108" i="3" s="1"/>
  <c r="H47" i="2"/>
  <c r="H48" i="2" s="1"/>
  <c r="E48" i="2"/>
  <c r="J20" i="3"/>
  <c r="Q146" i="3" s="1"/>
  <c r="Q40" i="3" s="1"/>
  <c r="Q117" i="3"/>
  <c r="M146" i="3"/>
  <c r="M147" i="3"/>
  <c r="M117" i="3"/>
  <c r="K117" i="3"/>
  <c r="O117" i="3"/>
  <c r="O146" i="3" l="1"/>
  <c r="O165" i="3"/>
  <c r="Q19" i="3"/>
  <c r="Q115" i="3"/>
  <c r="Q118" i="3" s="1"/>
  <c r="D25" i="2"/>
  <c r="C18" i="3" s="1"/>
  <c r="S14" i="5"/>
  <c r="S46" i="5" s="1"/>
  <c r="S18" i="5"/>
  <c r="Q84" i="3"/>
  <c r="O153" i="3" l="1"/>
  <c r="Q153" i="3" s="1"/>
  <c r="Q46" i="3" s="1"/>
  <c r="S57" i="5"/>
  <c r="O176" i="3"/>
  <c r="Q176" i="3" s="1"/>
  <c r="Q68" i="3" s="1"/>
  <c r="Q74" i="3"/>
  <c r="Q78" i="3" s="1"/>
  <c r="C110" i="3" s="1"/>
  <c r="C109" i="3" s="1"/>
  <c r="K115" i="3"/>
  <c r="M18" i="5" s="1"/>
  <c r="M115" i="3"/>
  <c r="O18" i="5" s="1"/>
  <c r="O115" i="3"/>
  <c r="Q18" i="5" s="1"/>
  <c r="Q143" i="3"/>
  <c r="Q38" i="3" s="1"/>
  <c r="Q155" i="3"/>
  <c r="Q48" i="3" s="1"/>
  <c r="Q162" i="3"/>
  <c r="Q178" i="3"/>
  <c r="Q71" i="3" l="1"/>
  <c r="Q70" i="3"/>
  <c r="Q174" i="3"/>
  <c r="Q66" i="3" s="1"/>
  <c r="Q55" i="3"/>
  <c r="B110" i="3" l="1"/>
  <c r="Q85" i="3"/>
  <c r="Q87" i="3" l="1"/>
  <c r="I90" i="3"/>
  <c r="G87" i="3"/>
  <c r="B109" i="3"/>
  <c r="M88" i="3" l="1"/>
  <c r="Q88" i="3" s="1"/>
  <c r="M110" i="3" s="1"/>
  <c r="Q90" i="3"/>
  <c r="M109" i="3" l="1"/>
  <c r="Q110" i="3"/>
  <c r="Q109" i="3" s="1"/>
</calcChain>
</file>

<file path=xl/comments1.xml><?xml version="1.0" encoding="utf-8"?>
<comments xmlns="http://schemas.openxmlformats.org/spreadsheetml/2006/main">
  <authors>
    <author>BEAURAIN</author>
    <author>charles 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rPr>
          <t xml:space="preserve">
</t>
        </r>
      </text>
    </comment>
    <comment ref="H10" authorId="0">
      <text>
        <r>
          <rPr>
            <sz val="8"/>
            <color indexed="81"/>
            <rFont val="Tahoma"/>
          </rPr>
          <t xml:space="preserve">
AMOUNT APPROVED BY THE D: PM
</t>
        </r>
      </text>
    </comment>
    <comment ref="D17" authorId="0">
      <text>
        <r>
          <rPr>
            <b/>
            <sz val="8"/>
            <color indexed="81"/>
            <rFont val="Tahoma"/>
          </rPr>
          <t>BEAURAIN:</t>
        </r>
        <r>
          <rPr>
            <sz val="8"/>
            <color indexed="81"/>
            <rFont val="Tahoma"/>
          </rPr>
          <t xml:space="preserve">
</t>
        </r>
        <r>
          <rPr>
            <sz val="10"/>
            <color indexed="81"/>
            <rFont val="Tahoma"/>
            <family val="2"/>
          </rPr>
          <t>Type "None" if not registered otherwise insert the registration number.</t>
        </r>
      </text>
    </comment>
    <comment ref="D20" authorId="0">
      <text>
        <r>
          <rPr>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 ref="F49" authorId="1">
      <text>
        <r>
          <rPr>
            <b/>
            <sz val="8"/>
            <color indexed="81"/>
            <rFont val="Tahoma"/>
          </rPr>
          <t>Charles beau rain:</t>
        </r>
        <r>
          <rPr>
            <sz val="8"/>
            <color indexed="81"/>
            <rFont val="Tahoma"/>
          </rPr>
          <t xml:space="preserve">
</t>
        </r>
        <r>
          <rPr>
            <sz val="10"/>
            <color indexed="81"/>
            <rFont val="Tahoma"/>
            <family val="2"/>
          </rPr>
          <t>The total final value of H46 must be = H56</t>
        </r>
      </text>
    </comment>
    <comment ref="G49" authorId="1">
      <text>
        <r>
          <rPr>
            <b/>
            <sz val="10"/>
            <color indexed="81"/>
            <rFont val="Tahoma"/>
            <family val="2"/>
          </rPr>
          <t>Charles beau rain:</t>
        </r>
        <r>
          <rPr>
            <sz val="10"/>
            <color indexed="81"/>
            <rFont val="Tahoma"/>
            <family val="2"/>
          </rPr>
          <t xml:space="preserve">
The total final value in H50 must be = H58</t>
        </r>
      </text>
    </comment>
  </commentList>
</comments>
</file>

<file path=xl/comments2.xml><?xml version="1.0" encoding="utf-8"?>
<comments xmlns="http://schemas.openxmlformats.org/spreadsheetml/2006/main">
  <authors>
    <author>BEAURAIN</author>
    <author>charles 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rPr>
          <t xml:space="preserve">
</t>
        </r>
      </text>
    </comment>
    <comment ref="H10" authorId="0">
      <text>
        <r>
          <rPr>
            <sz val="8"/>
            <color indexed="81"/>
            <rFont val="Tahoma"/>
          </rPr>
          <t xml:space="preserve">
AMOUNT APPROVED BY THE D: PM
</t>
        </r>
      </text>
    </comment>
    <comment ref="D17" authorId="0">
      <text>
        <r>
          <rPr>
            <b/>
            <sz val="8"/>
            <color indexed="81"/>
            <rFont val="Tahoma"/>
          </rPr>
          <t>BEAURAIN:</t>
        </r>
        <r>
          <rPr>
            <sz val="8"/>
            <color indexed="81"/>
            <rFont val="Tahoma"/>
          </rPr>
          <t xml:space="preserve">
</t>
        </r>
        <r>
          <rPr>
            <sz val="10"/>
            <color indexed="81"/>
            <rFont val="Tahoma"/>
            <family val="2"/>
          </rPr>
          <t>Type "None" if not registered otherwise insert the registration number.</t>
        </r>
      </text>
    </comment>
    <comment ref="D20" authorId="0">
      <text>
        <r>
          <rPr>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 ref="E34" authorId="1">
      <text>
        <r>
          <rPr>
            <b/>
            <sz val="8"/>
            <color indexed="81"/>
            <rFont val="Tahoma"/>
          </rPr>
          <t>Charles beau rain:</t>
        </r>
        <r>
          <rPr>
            <sz val="8"/>
            <color indexed="81"/>
            <rFont val="Tahoma"/>
          </rPr>
          <t xml:space="preserve">
Only ="Y" when specifically appointed as Principal agent.
</t>
        </r>
      </text>
    </comment>
    <comment ref="E36" authorId="1">
      <text>
        <r>
          <rPr>
            <b/>
            <sz val="8"/>
            <color indexed="81"/>
            <rFont val="Tahoma"/>
          </rPr>
          <t>Charles beau rain:</t>
        </r>
        <r>
          <rPr>
            <sz val="8"/>
            <color indexed="81"/>
            <rFont val="Tahoma"/>
          </rPr>
          <t xml:space="preserve">
Only ="Y" when specifically appointed as Principal agent.
</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<sst xmlns="http://schemas.openxmlformats.org/spreadsheetml/2006/main" count="881" uniqueCount="465">
  <si>
    <t>PLUS VAT @</t>
  </si>
  <si>
    <t xml:space="preserve"> x</t>
  </si>
  <si>
    <t xml:space="preserve"> x {</t>
  </si>
  <si>
    <t>)}=</t>
  </si>
  <si>
    <t>Date</t>
  </si>
  <si>
    <t xml:space="preserve">Hours </t>
  </si>
  <si>
    <t>Total</t>
  </si>
  <si>
    <t>Amount</t>
  </si>
  <si>
    <t>DATE</t>
  </si>
  <si>
    <t>Hours</t>
  </si>
  <si>
    <t>Hotel Name</t>
  </si>
  <si>
    <t>Delivered to</t>
  </si>
  <si>
    <t>Size</t>
  </si>
  <si>
    <t>Type</t>
  </si>
  <si>
    <t>1. Typing</t>
  </si>
  <si>
    <t>2. Duplicating</t>
  </si>
  <si>
    <t>Description of Document</t>
  </si>
  <si>
    <t>Pages</t>
  </si>
  <si>
    <t>PAYMENT CERTIFICATE NO:</t>
  </si>
  <si>
    <t>SERVICE:</t>
  </si>
  <si>
    <t>INVOICE NUMBER:</t>
  </si>
  <si>
    <t>OF</t>
  </si>
  <si>
    <t>AMOUNT DUE</t>
  </si>
  <si>
    <t>TOTAL FEES DUE</t>
  </si>
  <si>
    <t>NOTE:</t>
  </si>
  <si>
    <t>x</t>
  </si>
  <si>
    <t>Designation</t>
  </si>
  <si>
    <t>BASIC FEE</t>
  </si>
  <si>
    <t>PRINCIPAL AGENT (Y/N)</t>
  </si>
  <si>
    <t>DATE APPOINTED :</t>
  </si>
  <si>
    <t>TARIFF OF FEES TO APPLY :</t>
  </si>
  <si>
    <t>PREVIOUS PAYMENTS</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</si>
  <si>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</si>
  <si>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</si>
  <si>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</si>
  <si>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</si>
  <si>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</si>
  <si>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</si>
  <si>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</si>
  <si>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</si>
  <si>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</si>
  <si>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</si>
  <si>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</si>
  <si>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</si>
  <si>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</si>
  <si>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</si>
  <si>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</si>
  <si>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</si>
  <si>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</si>
  <si>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</si>
  <si>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</si>
  <si>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</si>
  <si>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</si>
  <si>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</si>
  <si>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</si>
  <si>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</si>
  <si>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</si>
  <si>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</si>
  <si>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3. Subsistence Charges [See your letter of appointment. Use either Table 3 or Table 4, not both]</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</si>
  <si>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</si>
  <si>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</si>
  <si>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</si>
  <si>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</si>
  <si>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</si>
  <si>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</si>
  <si>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</si>
  <si>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</si>
  <si>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</si>
  <si>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</si>
  <si>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</si>
  <si>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</si>
  <si>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</si>
  <si>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</si>
  <si>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</si>
  <si>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</si>
  <si>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</si>
  <si>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</si>
  <si>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</si>
  <si>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</si>
  <si>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</si>
  <si>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</si>
  <si>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</si>
  <si>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</si>
  <si>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</si>
  <si>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</si>
  <si>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</si>
  <si>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</si>
  <si>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</si>
  <si>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</si>
  <si>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</si>
  <si>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</si>
  <si>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D: Other Charges</t>
  </si>
  <si>
    <t>Invoice or TMB Number</t>
  </si>
  <si>
    <t>Laboratory/ Place</t>
  </si>
  <si>
    <t>Number of tests</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</si>
  <si>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</si>
  <si>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</si>
  <si>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</si>
  <si>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</si>
  <si>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</si>
  <si>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</si>
  <si>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</si>
  <si>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</si>
  <si>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</si>
  <si>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</si>
  <si>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</si>
  <si>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</si>
  <si>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</si>
  <si>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</si>
  <si>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</si>
  <si>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</si>
  <si>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</si>
  <si>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</si>
  <si>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</si>
  <si>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</si>
  <si>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</si>
  <si>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</si>
  <si>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</si>
  <si>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</si>
  <si>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</si>
  <si>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CONSULTANT'S REF. NUMBER   :</t>
  </si>
  <si>
    <t>+</t>
  </si>
  <si>
    <t>CLAIM</t>
  </si>
  <si>
    <t>MAXIMUM FOR "AGENT OF THE CLIENT"</t>
  </si>
  <si>
    <t xml:space="preserve"> Report: Time Based fees </t>
  </si>
  <si>
    <t>TYPE OF PROJECT:</t>
  </si>
  <si>
    <t>WORK ON ALTERATIONS TO EXISTING FACILITIES</t>
  </si>
  <si>
    <r>
      <t>2. Time Based fees:</t>
    </r>
    <r>
      <rPr>
        <b/>
        <sz val="11"/>
        <color indexed="10"/>
        <rFont val="Arial"/>
        <family val="2"/>
      </rPr>
      <t xml:space="preserve"> AGENT OF THE CLIENT</t>
    </r>
  </si>
  <si>
    <t>CIVIL AND STRUCTURAL ENGINEERING PROJECTS</t>
  </si>
  <si>
    <t>ADDITIONAL DESIGN FEE ON REINFORCED CONCRETE &amp; STRUCTURAL STEEL</t>
  </si>
  <si>
    <t>DUPLICATED EXISTING FACILITIES AFFECTED BY 1.25 &amp; .25 FACTORS.</t>
  </si>
  <si>
    <t>PAGE 2 OF INVOICE</t>
  </si>
  <si>
    <t>DUPLICATES NOT AFFECTED BY ANY FACTOR OTHER THAN .25.</t>
  </si>
  <si>
    <t>ADDITIONAL FEE FOR REINFORCED CONCRETE &amp; STRUCTURAL STEEL WORK</t>
  </si>
  <si>
    <r>
      <t xml:space="preserve">1. Time Based fees: </t>
    </r>
    <r>
      <rPr>
        <b/>
        <sz val="11"/>
        <color indexed="10"/>
        <rFont val="Arial"/>
        <family val="2"/>
      </rPr>
      <t>Report stage</t>
    </r>
    <r>
      <rPr>
        <b/>
        <sz val="11"/>
        <rFont val="Arial"/>
        <family val="2"/>
      </rPr>
      <t xml:space="preserve"> (Only if specifically appointed as such)</t>
    </r>
  </si>
  <si>
    <r>
      <t xml:space="preserve">3. Time Based fees: </t>
    </r>
    <r>
      <rPr>
        <b/>
        <sz val="11"/>
        <color indexed="10"/>
        <rFont val="Arial"/>
        <family val="2"/>
      </rPr>
      <t>Construction monitoring (only after written approval)</t>
    </r>
  </si>
  <si>
    <r>
      <t xml:space="preserve">4. Time Based fees: </t>
    </r>
    <r>
      <rPr>
        <b/>
        <sz val="11"/>
        <color indexed="10"/>
        <rFont val="Arial"/>
        <family val="2"/>
      </rPr>
      <t>Other</t>
    </r>
  </si>
  <si>
    <t>TRAVELLING &amp; SUBSISTENCE CHARGES</t>
  </si>
  <si>
    <t>1. Travelling Time</t>
  </si>
  <si>
    <t>Approved Hours</t>
  </si>
  <si>
    <t>TOTAL VALUE OF ENGINEERING WORK :</t>
  </si>
  <si>
    <t>TOTAL VALUE OF WORKS :</t>
  </si>
  <si>
    <t>DATE OF INVOICE</t>
  </si>
  <si>
    <t>TOTAL FEE FOR WATER AND WASTE WATER TREATMENT WORKS ONLY</t>
  </si>
  <si>
    <t>INPUT VALUES FOR WATER AND WASTE WATER TREATMENT WORKS ONLY</t>
  </si>
  <si>
    <t>TOTAL BASIC FEE</t>
  </si>
  <si>
    <t>STAGE</t>
  </si>
  <si>
    <t>MASS CONCRETE FOUNDATIONS, BRICKWORK AND CLADDING IN EXISTING FACILITIES AFFECTED BY 0.33 &amp; 1.25 FACTORS.</t>
  </si>
  <si>
    <t>MASS CONCRETE FOUNDATIONS, BRICKWORK AND CLADDING IN DUPLICATES AFFECTED BY 0.33 &amp; .25 FACTORS.</t>
  </si>
  <si>
    <t>MASS CONCRETE FOUNDATIONS, BRICKWORK AND CLADDING IN DUPLICATED EXISTING FACILITIES AFFECTED BY 1.25, 0.33 &amp; 0.25 FACTORS.</t>
  </si>
  <si>
    <t xml:space="preserve">ADDITIONAL FEE </t>
  </si>
  <si>
    <t>VALUE FOR CALCULATION PURPOSES</t>
  </si>
  <si>
    <t>BASIC FEE FOR WATER AND WASTE WATER TREATMENT WORKS</t>
  </si>
  <si>
    <t>GROUND RULES</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</si>
  <si>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</si>
  <si>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</si>
  <si>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</si>
  <si>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</si>
  <si>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</si>
  <si>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</si>
  <si>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</si>
  <si>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</si>
  <si>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POSTAL ADDRESS:</t>
  </si>
  <si>
    <t>TELEPHONE &amp; FACSIMILE NUMBERS</t>
  </si>
  <si>
    <t>FEES CODE (YEAR)</t>
  </si>
  <si>
    <t>AGENT OF THE CLIENT (OHSA) (Only on Engineering project) (Y/N)</t>
  </si>
  <si>
    <t>Tel</t>
  </si>
  <si>
    <t>SUB-TOTAL</t>
  </si>
  <si>
    <t>ALTERATIONS TO EXISTING W&amp;WWTW FACILITIES ALSO AFFECTED BY 1.25 FACTOR.</t>
  </si>
  <si>
    <t>MASS CONCRETE FOUNDATIONS, BRICKWORK AND CLADDING IN EXISTING W&amp;WWTW FACILITIES ALSO AFFECTED BY BOTH 0.33 &amp; 1.25 FACTORS.</t>
  </si>
  <si>
    <t>DUPLICATES IN W&amp;WWTW FACILITIES NOT AFFECTED BY ANY FACTOR OTHER THAN .25.</t>
  </si>
  <si>
    <t>MASS CONCRETE FOUNDATIONS, BRICKWORK AND CLADDING IN W&amp;WWTW FACILITIES ALSO AFFECTED BY 0.33 FACTOR</t>
  </si>
  <si>
    <t>MASS CONCRETE FOUNDATIONS, BRICKWORK AND CLADDING IN DUPLICATES IN W&amp;WWTW FACILITIES ALSO ALSO AFFECTED BY BOTH 0.33 &amp; .25 FACTORS.</t>
  </si>
  <si>
    <t>DUPLICATED EXISTING W&amp;WWTW FACILITIES ALSO AFFECTED BY BOTH 1.25 &amp; .25 FACTORS.</t>
  </si>
  <si>
    <t>MASS CONCRETE FOUNDATIONS, BRICKWORK AND CLADDING IN DUPLICATED EXISTING W&amp;WWTW FACILITIES ALSO AFFECTED BY 1.25, 0.33 &amp; 0.25 FACTORS.</t>
  </si>
  <si>
    <r>
      <t xml:space="preserve">REPORT STAGE </t>
    </r>
    <r>
      <rPr>
        <b/>
        <sz val="10"/>
        <color indexed="10"/>
        <rFont val="Arial"/>
        <family val="2"/>
      </rPr>
      <t>(If specifically appointed for this service only)</t>
    </r>
  </si>
  <si>
    <t>WORK NOT AFFECTED BY ANY OTHER FACTORS.</t>
  </si>
  <si>
    <t>ALTERATIONS TO EXISTING FACILITIES NOT AFFECTED BY ANY FACTOR OTHER THAN 1.25. (Including concrete cladding)</t>
  </si>
  <si>
    <t>MASS CONCRETE FOUNDATIONS, BRICKWORK AND CLADDING NOT AFFECTED BY ANY FACTOR OTHER THAN 0.33.</t>
  </si>
  <si>
    <t xml:space="preserve">FEE FOR  PRELIMINARY DESIGN, DESIGN &amp; TENDER AND WORKING DRAWING STAGES FOR WATER AND WASTE WATER TREATMENT WORKS </t>
  </si>
  <si>
    <t xml:space="preserve">FEE (d): TIME BASED FEES </t>
  </si>
  <si>
    <t>TOTAL FEES (d) TIME BASED</t>
  </si>
  <si>
    <t>TOTAL FEES (e) EXPENSES AND COSTS (DISBURSEMENTS)</t>
  </si>
  <si>
    <t>FEE (e): FEES FOR EXPENSES AND COSTS (DISBURSEMENTS)</t>
  </si>
  <si>
    <t>CONSTRUCTION MONITORING ONLY</t>
  </si>
  <si>
    <t>Cell</t>
  </si>
  <si>
    <t xml:space="preserve">1. VALUE OF WORK NOT AFFECTED BY ANY FACTORS </t>
  </si>
  <si>
    <t>2. VALUE OF DUPLICATES NOT AFFECTED BY ANY FACTOR OTHER THAN 0.25.</t>
  </si>
  <si>
    <t>3. VALUE OF ALL ALTERATIONS TO EXISTING FACILITIES NOT AFFECTED BY ANY FACTOR OTHER THAN 1.25.</t>
  </si>
  <si>
    <t>4. VALUE OF MASS CONCRETE FOUNDATIONS, BRICKWORK AND CLADDING NOT AFFECTED BY ANY FACTOR OTHER THAN 0.33.</t>
  </si>
  <si>
    <t>5. VALUE OF MASS CONCRETE FOUNDATIONS, BRICKWORK AND CLADDING IN EXISTING FACILITIES AFFECTED BY BOTH 0.33 AND 1.25 FACTORS.</t>
  </si>
  <si>
    <t>6. VALUE OF MASS CONCRETE FOUNDATIONS, BRICKWORK AND CLADDING IN DUPLICATES AFFECTED BY BOTH 0.33 AND 0.25 FACTORS.</t>
  </si>
  <si>
    <t>7. VALUE OF WORK IN DUPLICATED EXISTING FACILITIES AFFECTED BY BOTH 1.25 AND 0.25 FACTORS.</t>
  </si>
  <si>
    <t>8. VALUE OF MASS CONCRETE FOUNDATIONS, BRICKWORK AND CLADDING IN DUPLICATED EXISTING FACILITIES AFFECTED BY 1.25, 0.33 AND 0.25 FACTORS.</t>
  </si>
  <si>
    <t>1. VALUE OF WORK COMPLETED NOT AFFECTED BY ANY FACTORS</t>
  </si>
  <si>
    <t>2. VALUE OF ALL ALTERATIONS TO EXISTING FACILITIES COMPLETED NOT AFFECTED BY ANY FACTOR OTHER THAN THE 1.25.</t>
  </si>
  <si>
    <t>2. VALUE OF W&amp;WW. T. W. DUPLICATES NOT AFFECTED BY ANY FACTOR OTHER THAN 0.25.</t>
  </si>
  <si>
    <t>4. VALUE OF MASS CONCRETE FOUNDATIONS, BRICKWORK AND CLADDING IN W. &amp; WW. T. W NOT AFFECTED BY ANY FACTOR OTHER THAN 0.33.</t>
  </si>
  <si>
    <t>6. VALUE OF MASS CONCRETE FOUNDATIONS, BRICKWORK AND CLADDING IN W. &amp; WW. T. W DUPLICATES AFFECTED BY 0.33 AND 0.25 FACTORS.</t>
  </si>
  <si>
    <t>1. VALUE OF W &amp; WW T W COMPLETED NOT AFFECTED BY OTHER FACTORS</t>
  </si>
  <si>
    <t>ESTIMATES OR TENDER VALUES?</t>
  </si>
  <si>
    <t>PRINCIPAL AGENT FEES</t>
  </si>
  <si>
    <t>TOTAL VALUE OF WATER &amp; WASTEWATER TREATMENT WORKS AFFECTED BY THE 1.25 FACTOR. (Carried over from "WTW Input" sheet)</t>
  </si>
  <si>
    <r>
      <t xml:space="preserve">1. TOTAL COST OF THE WORKS COMPRISING THE PROJECT, INCLUDING P&amp;G &amp; CPA. </t>
    </r>
    <r>
      <rPr>
        <b/>
        <sz val="10"/>
        <color indexed="10"/>
        <rFont val="Arial"/>
        <family val="2"/>
      </rPr>
      <t>(Only if the engineer is appointed as principal agent)</t>
    </r>
  </si>
  <si>
    <t>3. VALUE OF ALL ALTERATIONS TO EXISTING W. &amp; WW. T. W NOT AFFECTED BY ANY FACTOR OTHER THAN 1.25.</t>
  </si>
  <si>
    <t>5. VALUE OF MASS CONCRETE FOUNDATIONS, BRICKWORK AND CLADDING IN EXISTING W. &amp; WW. T. W AFFECTED BY 0.33 AND 1.25 FACTORS.</t>
  </si>
  <si>
    <t>8. VALUE OF MASS CONCRETE FOUNDATIONS, BRICKWORK AND CLADDING IN DUPLICATED EXISTING W. &amp; WW. T. W AFFECTED BY 1.25, 0.33 AND 0.25 FACTORS.</t>
  </si>
  <si>
    <t>7. VALUE OF WORK IN DUPLICATED EXISTING W. &amp; WW. T. W AFFECTED BY 1.25 AND 0.25 FACTORS.</t>
  </si>
  <si>
    <t>2. VALUE OF ALL ALTERATIONS TO EXISTING W &amp; WW T W COMPLETED ALSO AFFECTED BY THE 1.25 FACTOR</t>
  </si>
  <si>
    <t>VALUE OF WATER &amp; WASTEWATER TREATMENT WORKS COMPLETED AFFECTED BY THE 1.25 FACTOR. (Carried over from the "WTW Input" sheet)</t>
  </si>
  <si>
    <t>1. VALUE OF WATER &amp; WASTE WATER TREATMENT WORKS NOT AFFECTED BY OTHER FACTORS</t>
  </si>
  <si>
    <t>ATTACHED TO CLAIM NO</t>
  </si>
  <si>
    <t>PAYMENT NO</t>
  </si>
  <si>
    <t>1</t>
  </si>
  <si>
    <t>CARRIED OVER</t>
  </si>
  <si>
    <t>38</t>
  </si>
  <si>
    <t>TRAVELLING  TIME</t>
  </si>
  <si>
    <t>Travelling Time</t>
  </si>
  <si>
    <t xml:space="preserve">CONSTRUCTION MONITORING  &amp; OTHER </t>
  </si>
  <si>
    <t>Time Based fees: Other</t>
  </si>
  <si>
    <t>Construction monitoring &amp; Other TOTAL Excl VAT</t>
  </si>
  <si>
    <t>INPUT ALL INFORMATION FOR THE WHOLE PROJECT</t>
  </si>
  <si>
    <t>Travelling Time Total Excl VAT)</t>
  </si>
  <si>
    <t>Travelling &amp; Public Transport Total Excl VAT</t>
  </si>
  <si>
    <t>Toll Gates</t>
  </si>
  <si>
    <t>Typing Duplicating &amp; Printing TOTAL Excl VAT</t>
  </si>
  <si>
    <t>Site Staff &amp; Other Charges Total Excl VAT</t>
  </si>
  <si>
    <t>NOTE ALL ITEMS MUST EXCLUDE VAT</t>
  </si>
  <si>
    <t>NOTE: ALL ITEMS MUST INCLUDE VAT</t>
  </si>
  <si>
    <t>Travelling expenses Total</t>
  </si>
  <si>
    <t>Hours claimed</t>
  </si>
  <si>
    <t>TOTAL VALUE OF REINFORCED CONCRETE &amp; STRUCTURAL STEEL :</t>
  </si>
  <si>
    <t>PLUS NON TAXABLE EXPENSES</t>
  </si>
  <si>
    <t xml:space="preserve">FEE FOR CONSTRUCTION AND COMPLETION STAGE OF WATER AND WASTE WATER TREATMENT WORKS </t>
  </si>
  <si>
    <t>NOTE: ALL ITEMS MUST EXCLUDE VAT</t>
  </si>
  <si>
    <t xml:space="preserve"> Report: Time Based fees Total Excl VAT</t>
  </si>
  <si>
    <t xml:space="preserve"> Agent of the client: Time Based fees Total Excl VAT</t>
  </si>
  <si>
    <t>Construction monitoring: Time Based fees Total Excl VAT</t>
  </si>
  <si>
    <t>Other: Time Based fees Total Excl VAT</t>
  </si>
  <si>
    <t>PERCENTAGE OF FEE TENDERED</t>
  </si>
  <si>
    <t>DUE</t>
  </si>
  <si>
    <t>% OF STANDARD FEES TENDERED FOR PROFESSIONAL SERVICES</t>
  </si>
  <si>
    <t>(Not applicable in case of a tender for professional services)</t>
  </si>
  <si>
    <t>E-MAIL ADDRESS</t>
  </si>
  <si>
    <t>DRAWING NUMBER</t>
  </si>
  <si>
    <t>TEL NO</t>
  </si>
  <si>
    <t>CELL PHONE NO</t>
  </si>
  <si>
    <t>FACSIMILE  NO:</t>
  </si>
  <si>
    <t>COMPANY REGISTRATION NUMBER</t>
  </si>
  <si>
    <t>CLIENT</t>
  </si>
  <si>
    <t>POSTAL ADDRESS</t>
  </si>
  <si>
    <t>POST OFFICE</t>
  </si>
  <si>
    <t>POSTAL CODE</t>
  </si>
  <si>
    <t>STREET &amp; NO</t>
  </si>
  <si>
    <t>TOWN/CITY</t>
  </si>
  <si>
    <t>FAX NO</t>
  </si>
  <si>
    <t>INVOICE NO</t>
  </si>
  <si>
    <t>FAX-TO-EMAIL</t>
  </si>
  <si>
    <t>DRAWING NO:</t>
  </si>
  <si>
    <t>FILE NUMBER:</t>
  </si>
  <si>
    <t>VAT REGISTRATION NO:</t>
  </si>
  <si>
    <t>POST OFF</t>
  </si>
  <si>
    <t>TOWN</t>
  </si>
  <si>
    <t>BUILDING NAME</t>
  </si>
  <si>
    <t>TEL</t>
  </si>
  <si>
    <t>FAX</t>
  </si>
  <si>
    <t>FAX2</t>
  </si>
  <si>
    <t xml:space="preserve">PROJECT MAN: </t>
  </si>
  <si>
    <t>E-MAIL</t>
  </si>
  <si>
    <t>CELL</t>
  </si>
  <si>
    <t>NOTES PERTAINING TO THE COMPLETION OF THE WORKBOOK.</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</si>
  <si>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</si>
  <si>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</si>
  <si>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</si>
  <si>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</si>
  <si>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</si>
  <si>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</si>
  <si>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In some cases more than one of the fee factor multipliers may have to be applied to the same portion of the works, and these factors have to be dealt with separately in the fee calculations.</t>
  </si>
  <si>
    <t>Principal Agent: A separate fee will be calculated for such an appointment, because the fee is based on the value of the works (1% of the total value of the works). This procedure is NOT a fee factor multiplier to be applied to the basic fee. N/A</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</si>
  <si>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</si>
  <si>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</si>
  <si>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</si>
  <si>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</si>
  <si>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</si>
  <si>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</si>
  <si>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</si>
  <si>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</si>
  <si>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NO:</t>
  </si>
  <si>
    <t>PROJECT NO</t>
  </si>
  <si>
    <t>SERVICE</t>
  </si>
  <si>
    <t>cse09</t>
  </si>
  <si>
    <t>ADDRESS</t>
  </si>
  <si>
    <t>Site Staff &amp; Other Charges Total Incl. VAT</t>
  </si>
  <si>
    <t>1. TOTAL REINFORCED CONCRETE &amp; STRUCTURAL STEEL WORK  BY THE ENGINEER APPROPRIATE TO CLAUSE 4.2.1 (2)  OF THE GAZETTE.</t>
  </si>
  <si>
    <t>1. VALUE OF REINFORCED CONCRETE &amp; STRUCTURAL STEEL WORK  COMPLETED APPROPRIATE TO CLAUSE 4.2.1 (2)  OF THE GAZETTE.</t>
  </si>
  <si>
    <t>VALUE OF ALL WORK COMPLETED, APPROPRIATE TO CLAUSE 4.2.1.(1) OF THE GAZETTE</t>
  </si>
  <si>
    <t>TOTAL PERCENTAGE BASED PROFESSIONAL FEES DUE</t>
  </si>
  <si>
    <t>WCS NO</t>
  </si>
  <si>
    <t>WCS NO:</t>
  </si>
  <si>
    <t xml:space="preserve">WCS NO: </t>
  </si>
  <si>
    <t>NATIONAL DEPARTMENT OF PUBLIC WORKS</t>
  </si>
  <si>
    <t>DPW PROJECT MANAGER</t>
  </si>
  <si>
    <t>DPW FILE NUMBER:</t>
  </si>
  <si>
    <t>WCS NUMBER</t>
  </si>
  <si>
    <t>WORKBOOK FOR THE CALCULATION OF CONSULTING ENGINEER'S FEES IN TERMS OF THE GUIDELINE FOR SERVICES AND FEES PUBLISHED BY ECSA AS AMENDED BY DPW</t>
  </si>
  <si>
    <t>TOTAL VALUE OF ALL WORK BY THE ENGINEER APPROPRIATE TO CLAUSE 4.2.1.(1) OF THE GAZETTE</t>
  </si>
  <si>
    <t>TOTAL VALUE OF ALL WORK BY THE ENGINEER APPROPRIATE TO CLAUSE 4.2.1.(1) OF THE GUIDELINE. (Carried over to the Main Input sheet)</t>
  </si>
  <si>
    <t>TOTAL VALUE OF ALL W &amp; WTW WORK COMPLETED, APPROPRIATE TO CLAUSE 4.2.1.(1) OF THE GAZETTE. Carried over to the "Main Input" sheet)</t>
  </si>
  <si>
    <r>
      <t xml:space="preserve">(A) ESTIMATED OR TENDER VALUES </t>
    </r>
    <r>
      <rPr>
        <b/>
        <sz val="10"/>
        <color indexed="10"/>
        <rFont val="Arial"/>
        <family val="2"/>
      </rPr>
      <t>(STAGES 1 -4)</t>
    </r>
  </si>
  <si>
    <r>
      <t xml:space="preserve">(B) ESTIMATED VALUE FOR DESIGN FEES DURING CONSTRUCTION </t>
    </r>
    <r>
      <rPr>
        <b/>
        <sz val="10"/>
        <color indexed="10"/>
        <rFont val="Arial"/>
        <family val="2"/>
      </rPr>
      <t>(STAGE 5)</t>
    </r>
  </si>
  <si>
    <r>
      <t xml:space="preserve">(D) FINAL MEASURED VALUES INCL. CPA &amp; P&amp;G </t>
    </r>
    <r>
      <rPr>
        <b/>
        <sz val="10"/>
        <color indexed="10"/>
        <rFont val="Arial"/>
        <family val="2"/>
      </rPr>
      <t>(STAGE 6 ONLY)</t>
    </r>
  </si>
  <si>
    <r>
      <t xml:space="preserve">(C) VALUE OF COMPLETED WORK </t>
    </r>
    <r>
      <rPr>
        <b/>
        <sz val="10"/>
        <color indexed="10"/>
        <rFont val="Arial"/>
        <family val="2"/>
      </rPr>
      <t>(STAGE 5 &amp; 6)</t>
    </r>
  </si>
  <si>
    <t>see10</t>
  </si>
  <si>
    <t>DISCIPLINE APPOINTED</t>
  </si>
  <si>
    <t>CIVIL &amp; STRUCTURAL ENGINEERING</t>
  </si>
  <si>
    <t>Y</t>
  </si>
  <si>
    <t>(c) FEE FOR TARGETED/PREFERENTIAL PROCUREMENT</t>
  </si>
  <si>
    <t>FEES (a) INCEPTION, PRELIMINARY DESIGN: CONCEPT AND VIABILITY, DETAIL DESIGN, DOCUMENTATION AND PROCUREMENT STAGES</t>
  </si>
  <si>
    <t>FEES (b) CONTRACT ADMINISTRATION &amp; INSPECTION AND CLOSE OUT STAGES</t>
  </si>
  <si>
    <t>TOTAL PERCENTAGE BASED FEES FOR INCEPTION, PRELIMINARY DESIGN: DETAIL DESIGN, DOCUMENTATION AND PROCUREMENT STAGES (a)</t>
  </si>
  <si>
    <t>TOTAL PERCENTAGE BASED FEES FOR CONTRACT ADMINISTRATION &amp; INSPECTION AND CLOSE OUT STAGES (b)</t>
  </si>
  <si>
    <t>N</t>
  </si>
  <si>
    <t>WCS CONTRACT NUMBER</t>
  </si>
  <si>
    <t xml:space="preserve">CONSULTANT NAME </t>
  </si>
  <si>
    <t>%</t>
  </si>
  <si>
    <t>BASIC FEE (Clause 4.2.1 (1) of the Guideline)</t>
  </si>
  <si>
    <t>CALCULATIONS</t>
  </si>
  <si>
    <t>CLOSE OUT</t>
  </si>
  <si>
    <t>TOTAL PERCENTAGE BASED FEES FOR ALL STAGES ((a)+(b)+(c))</t>
  </si>
  <si>
    <t>TO</t>
  </si>
  <si>
    <t>WCS CONTRACT NO</t>
  </si>
  <si>
    <t>CONSULTANT REF</t>
  </si>
  <si>
    <t>WATER AND WASTEWATER TREATMENT WORKS AFFECTED BY THE 1.25 FACTOR</t>
  </si>
  <si>
    <t>CALCULATIONS FOR WATER AND WASTE WATER TREATMENT WORKS</t>
  </si>
  <si>
    <t>FROM</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</si>
  <si>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</si>
  <si>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</si>
  <si>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</si>
  <si>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</si>
  <si>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</si>
  <si>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</si>
  <si>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</si>
  <si>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</si>
  <si>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</si>
  <si>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</si>
  <si>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</si>
  <si>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</si>
  <si>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</si>
  <si>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</si>
  <si>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</si>
  <si>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</si>
  <si>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</si>
  <si>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</si>
  <si>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</si>
  <si>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</si>
  <si>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</si>
  <si>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Claim No</t>
  </si>
  <si>
    <t>Claim No:</t>
  </si>
  <si>
    <t>Previously claimed</t>
  </si>
  <si>
    <t>A6089/002/9</t>
  </si>
  <si>
    <t>CE 56789/001/6</t>
  </si>
  <si>
    <t>CONSULTANT OFFICE ADDRESS</t>
  </si>
  <si>
    <t>OFFICE ADDRESS/ BUILDING NAME</t>
  </si>
  <si>
    <t>Paul Mashinga</t>
  </si>
  <si>
    <t>Paul.mashinga@dpw.gov.za</t>
  </si>
  <si>
    <t>012 337 2345</t>
  </si>
  <si>
    <t>082 699 3459</t>
  </si>
  <si>
    <t>John Engineer CC</t>
  </si>
  <si>
    <t>P O Box 11111, Boksburg</t>
  </si>
  <si>
    <t>Brightstar building 214, Peach str 1023, Boksburg</t>
  </si>
  <si>
    <t>011 769 3456</t>
  </si>
  <si>
    <t>011 769 3011</t>
  </si>
  <si>
    <t>je@telkom.net</t>
  </si>
  <si>
    <t>400-45678-10</t>
  </si>
  <si>
    <t>CODE</t>
  </si>
  <si>
    <t>OFFICE ADDRESS.</t>
  </si>
  <si>
    <t>12345678</t>
  </si>
  <si>
    <t>TARGETED PROCUREMENT (Y/N)</t>
  </si>
  <si>
    <r>
      <t xml:space="preserve">1. TOTAL COST OF THE WORKS COMPRISING THE PROJECT COMPLETED, DURING CONSTRUCTION &amp; COMPLETION STAGES INCLUDING P&amp;G &amp; CPA. </t>
    </r>
    <r>
      <rPr>
        <b/>
        <sz val="11"/>
        <color indexed="10"/>
        <rFont val="Arial"/>
        <family val="2"/>
      </rPr>
      <t>(Only if the engineer is appointed as principal agent)</t>
    </r>
  </si>
  <si>
    <t>CONSULTANT</t>
  </si>
  <si>
    <t>Private Bag X65</t>
  </si>
  <si>
    <t>PRETORIA</t>
  </si>
  <si>
    <t>0001</t>
  </si>
  <si>
    <t>Public Works House</t>
  </si>
  <si>
    <t>Pretorius Street 445</t>
  </si>
  <si>
    <t>0002</t>
  </si>
  <si>
    <t>012 337 2000</t>
  </si>
  <si>
    <t>012 337 3276</t>
  </si>
  <si>
    <t>086 666 0000</t>
  </si>
  <si>
    <t>Nelspruit Police Station</t>
  </si>
  <si>
    <t>082 344 6756</t>
  </si>
  <si>
    <t>086 610 0300</t>
  </si>
  <si>
    <t>Service DPW567/102</t>
  </si>
  <si>
    <t>INPUT DATA: COMPLETE ALL THE YELLOW CELLS PLEASE !!!</t>
  </si>
  <si>
    <t>CONSULTING ENG.</t>
  </si>
  <si>
    <t>FAX 1</t>
  </si>
  <si>
    <t xml:space="preserve">    TAX INVOICE</t>
  </si>
  <si>
    <r>
      <t>CONTRACT ADMINISTRATION &amp; INSPECTION AND CLOSE-OUT STAGES</t>
    </r>
    <r>
      <rPr>
        <b/>
        <i/>
        <sz val="14"/>
        <color indexed="10"/>
        <rFont val="Arial"/>
        <family val="2"/>
      </rPr>
      <t xml:space="preserve"> (INTERIM PAYMENTS)                                                                                                   ALL VALUES MUST INCLUDE RELEVANT PROPORTION OF P&amp;G AND CPA</t>
    </r>
  </si>
  <si>
    <r>
      <t xml:space="preserve">INCEPTION,  PRELIMINARY DESIGN: CONCEPT AND VIABILITY,  DETAIL DESIGN, DOCUMENTATION AND PROCUREMENT STAGES, </t>
    </r>
    <r>
      <rPr>
        <b/>
        <i/>
        <sz val="12"/>
        <color indexed="10"/>
        <rFont val="Arial"/>
        <family val="2"/>
      </rPr>
      <t>ALL VALUES MUST INCLUDE RELEVANT PROPORTION OF P&amp;G AND CPA DURING CONSTRUCTION STAGE.</t>
    </r>
  </si>
  <si>
    <t>DPW/001</t>
  </si>
  <si>
    <t>CONSULTING ENGINEER</t>
  </si>
  <si>
    <t>PAGE II OF INPUT DATA</t>
  </si>
  <si>
    <r>
      <t>INCEPTION,  PRELIMINARY DESIGN: CONCEPT AND VIABILITY,  DETAIL DESIGN, DOCUMENTATION AND PROCUREMENT STAGES, ALL VALUES MUST INCLUDE RELEVANT PROPORTION OF P&amp;G AND CPA DURING CONSTRUCTION STAGE.</t>
    </r>
    <r>
      <rPr>
        <b/>
        <i/>
        <sz val="12"/>
        <color indexed="10"/>
        <rFont val="Arial"/>
        <family val="2"/>
      </rPr>
      <t>AND ARE AFFECTED BY THE ADDIONAL FEE FACTOR OF 1.25.</t>
    </r>
  </si>
  <si>
    <r>
      <t>CONTRACT ADMINISTRATION &amp; INSPECTION AND CLOSE-OUT STAGES (INTERIM PAYMENTS)                                                                                                   ALL VALUES MUST INCLUDE RELEVANT PROPORTION OF P&amp;G AND CPA</t>
    </r>
    <r>
      <rPr>
        <b/>
        <i/>
        <sz val="12"/>
        <color indexed="53"/>
        <rFont val="Arial"/>
        <family val="2"/>
      </rPr>
      <t xml:space="preserve"> </t>
    </r>
    <r>
      <rPr>
        <b/>
        <i/>
        <sz val="12"/>
        <color indexed="10"/>
        <rFont val="Arial"/>
        <family val="2"/>
      </rPr>
      <t>AND ARE AFFECTED BY THE ADDIONAL FEE FACTOR OF 1.25.</t>
    </r>
  </si>
  <si>
    <r>
      <t xml:space="preserve">(A) ESTIMATED OR TENDER VALUES </t>
    </r>
    <r>
      <rPr>
        <b/>
        <sz val="11"/>
        <color indexed="10"/>
        <rFont val="Arial"/>
        <family val="2"/>
      </rPr>
      <t>(STAGES 1 -4)</t>
    </r>
  </si>
  <si>
    <r>
      <t xml:space="preserve">(B) ESTIMATED VALUE FOR DESIGN FEES DURING CONSTRUCTION </t>
    </r>
    <r>
      <rPr>
        <b/>
        <sz val="11"/>
        <color indexed="10"/>
        <rFont val="Arial"/>
        <family val="2"/>
      </rPr>
      <t>(STAGE 5)</t>
    </r>
  </si>
  <si>
    <r>
      <t xml:space="preserve">(D) FINAL MEASURED VALUES INCL. CPA &amp; P&amp;G </t>
    </r>
    <r>
      <rPr>
        <b/>
        <sz val="11"/>
        <color indexed="10"/>
        <rFont val="Arial"/>
        <family val="2"/>
      </rPr>
      <t>(STAGE 6 ONLY)</t>
    </r>
  </si>
  <si>
    <t>CONSULTING ENG</t>
  </si>
  <si>
    <t>TENDER VALUES</t>
  </si>
  <si>
    <r>
      <t>CONTRACT ADMINISTRATION &amp; INSPECTION AND CLOSE-OUT STAGES (INTERIM PAYMENTS)                                                                                                   ALL VALUES MUST INCLUDE RELEVANT PROPORTION OF P&amp;G AND CPA</t>
    </r>
    <r>
      <rPr>
        <b/>
        <i/>
        <sz val="12"/>
        <color indexed="53"/>
        <rFont val="Arial"/>
        <family val="2"/>
      </rPr>
      <t xml:space="preserve"> </t>
    </r>
    <r>
      <rPr>
        <b/>
        <i/>
        <sz val="12"/>
        <color indexed="10"/>
        <rFont val="Arial"/>
        <family val="2"/>
      </rPr>
      <t>AND ARE AFFECTED BY T</t>
    </r>
  </si>
  <si>
    <t xml:space="preserve">CIVIL &amp; STRUCTURAL ENGINEERING  </t>
  </si>
  <si>
    <t/>
  </si>
  <si>
    <t>PERCENTAGE BASED FEES</t>
  </si>
  <si>
    <t>STAGE COMPLETED</t>
  </si>
  <si>
    <t>ESTIMATES ONLY</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</si>
  <si>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</si>
  <si>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</si>
  <si>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</si>
  <si>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</si>
  <si>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</si>
  <si>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</si>
  <si>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</si>
  <si>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COMMENTS</t>
  </si>
  <si>
    <t>ADDITIONAL FEE FOR REINFORCED CONCRETE &amp; STRUCTURAL STEEL. (Clause 4.2.1 (2))</t>
  </si>
  <si>
    <t>Rate (R)</t>
  </si>
  <si>
    <t>Tariff (R)</t>
  </si>
  <si>
    <t>Approved rate (R)</t>
  </si>
  <si>
    <t>PENALTY APPLIED</t>
  </si>
  <si>
    <t>Yes</t>
  </si>
  <si>
    <t>NOT REGISTERED</t>
  </si>
  <si>
    <t>PERCENTAGE OF STAGE COMPLETED</t>
  </si>
  <si>
    <t>APPORTIONMENT OF THE DESIGN STAGE</t>
  </si>
  <si>
    <t xml:space="preserve">Stage </t>
  </si>
  <si>
    <t>Description</t>
  </si>
  <si>
    <t>Apportionment</t>
  </si>
  <si>
    <t>Progress</t>
  </si>
  <si>
    <t>Factor</t>
  </si>
  <si>
    <t>Stage 1</t>
  </si>
  <si>
    <t>Inception</t>
  </si>
  <si>
    <t>Stage 2</t>
  </si>
  <si>
    <t>Preliminary Design: Concept and Viability</t>
  </si>
  <si>
    <t>Stage 3</t>
  </si>
  <si>
    <t>Design Development</t>
  </si>
  <si>
    <t>Stage 4</t>
  </si>
  <si>
    <t>Documentation and Procurement</t>
  </si>
  <si>
    <t>LESS PENALTY</t>
  </si>
  <si>
    <r>
      <t xml:space="preserve">(A) ESTIMATED OR TENDER VALUES </t>
    </r>
    <r>
      <rPr>
        <sz val="11"/>
        <color indexed="10"/>
        <rFont val="Arial"/>
        <family val="2"/>
      </rPr>
      <t>(STAGES 1 -4)</t>
    </r>
  </si>
  <si>
    <r>
      <t xml:space="preserve">(B) ESTIMATED VALUE FOR DESIGN FEES DURING CONSTRUCTION </t>
    </r>
    <r>
      <rPr>
        <sz val="11"/>
        <color indexed="10"/>
        <rFont val="Arial"/>
        <family val="2"/>
      </rPr>
      <t>(STAGE 5)</t>
    </r>
  </si>
  <si>
    <r>
      <t xml:space="preserve">(D) FINAL MEASURED VALUES INCL. CPA &amp; P&amp;G </t>
    </r>
    <r>
      <rPr>
        <sz val="11"/>
        <color indexed="10"/>
        <rFont val="Arial"/>
        <family val="2"/>
      </rPr>
      <t>(STAGE 6 ONLY)</t>
    </r>
  </si>
  <si>
    <t>No</t>
  </si>
  <si>
    <t>INCEPTION</t>
  </si>
  <si>
    <t>2012 Scales</t>
  </si>
  <si>
    <t>SCALE_2012SE1</t>
  </si>
  <si>
    <t>SCALE_2012SE2</t>
  </si>
  <si>
    <t>Version: 1.0  2012-02</t>
  </si>
  <si>
    <t>N/A for INCEPTION, CONTRACT ADMINISTRATION or CLOSE-OUT STAGE</t>
  </si>
  <si>
    <t xml:space="preserve">Input the dates in the following format: "ddmmmyy" (13sep11). </t>
  </si>
  <si>
    <t>For any information, clarification or assistance please phone Ms Magda van Es at 012 452 0446 or 082 887 1705 - E-mail magda@virtualconsulting.co.za or Charles Beaurain @ 0823907612/0125676957</t>
  </si>
  <si>
    <r>
      <t>(1)</t>
    </r>
    <r>
      <rPr>
        <sz val="7"/>
        <rFont val="Times New Roman"/>
        <family val="1"/>
      </rPr>
      <t xml:space="preserve">           </t>
    </r>
    <r>
      <rPr>
        <b/>
        <u/>
        <sz val="10"/>
        <rFont val="Arial"/>
        <family val="2"/>
      </rPr>
      <t>Multi-Disciplinary Project</t>
    </r>
    <r>
      <rPr>
        <sz val="10"/>
        <rFont val="Arial"/>
        <family val="2"/>
      </rPr>
      <t xml:space="preserve"> means a project comprising building work, together with its associated engineering work, where the engineer is subject to the authority of another professional acting as the Principal Agent while financial and administrative matters are dealt with by another professional</t>
    </r>
  </si>
  <si>
    <t>MULTI-DISCIPLINARY PROJECT</t>
  </si>
  <si>
    <t>ENGINEERING PROJECT</t>
  </si>
  <si>
    <t>STRUCTURAL ENGINEERING</t>
  </si>
  <si>
    <t>Project managers are advised to re-enter the data (at least for the Schedules) into their personal copies of the spread sheets to check the fee accounts, because the calculators used by other person might have been changed inadvertently!</t>
  </si>
  <si>
    <t>Engineers deal with work contained in two main types of projects: Engineering and Multi-disciplinary.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Multi-disciplinary projects.</t>
  </si>
  <si>
    <t>Fee in accordance with the National Department of Public Works Scope of Engineering Services and Tariff of Fees for Persons Registered in terms of the Engineering Profession Act, 2000 (Act No. 46 of 2000) dated 1 January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</si>
</sst>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8" formatCode="_ &quot;R&quot;\ * #,##0_ ;_ &quot;R&quot;\ * \-#,##0_ ;_ &quot;R&quot;\ * &quot;-&quot;_ ;_ @_ "/>
    <numFmt numFmtId="170" formatCode="_ &quot;R&quot;\ * #,##0.00_ ;_ &quot;R&quot;\ * \-#,##0.00_ ;_ &quot;R&quot;\ * &quot;-&quot;??_ ;_ @_ "/>
    <numFmt numFmtId="171" formatCode="_ * #,##0.00_ ;_ * \-#,##0.00_ ;_ * &quot;-&quot;??_ ;_ @_ "/>
    <numFmt numFmtId="172" formatCode="&quot;R&quot;\ #,##0_);\(&quot;R&quot;\ #,##0\)"/>
    <numFmt numFmtId="173" formatCode="&quot;R&quot;\ #,##0.00_);\(&quot;R&quot;\ #,##0.00\)"/>
    <numFmt numFmtId="174" formatCode="#.00"/>
    <numFmt numFmtId="175" formatCode="#."/>
    <numFmt numFmtId="176" formatCode="m\o\n\th\ d\,\ yyyy"/>
    <numFmt numFmtId="177" formatCode="0.0%"/>
    <numFmt numFmtId="178" formatCode="&quot;R&quot;\ #,##0.00"/>
    <numFmt numFmtId="179" formatCode="[$-1C09]dd\ mmmm\ yyyy;@"/>
    <numFmt numFmtId="180" formatCode="&quot;R&quot;\ #,##0"/>
    <numFmt numFmtId="182" formatCode="General_)"/>
    <numFmt numFmtId="184" formatCode="dd\ mmmm\ yyyy"/>
    <numFmt numFmtId="185" formatCode="0.000"/>
    <numFmt numFmtId="186" formatCode="dd\-mmm\-yyyy"/>
    <numFmt numFmtId="192" formatCode="000000"/>
    <numFmt numFmtId="195" formatCode="0000"/>
    <numFmt numFmtId="196" formatCode="&quot;R&quot;\ #,##0.0"/>
  </numFmts>
  <fonts count="125" x14ac:knownFonts="1">
    <font>
      <sz val="12"/>
      <name val="Courier"/>
    </font>
    <font>
      <sz val="10"/>
      <name val="Arial"/>
    </font>
    <font>
      <sz val="1"/>
      <color indexed="8"/>
      <name val="Courier"/>
    </font>
    <font>
      <b/>
      <sz val="1"/>
      <color indexed="8"/>
      <name val="Courier"/>
    </font>
    <font>
      <sz val="10"/>
      <name val="Arial"/>
      <family val="2"/>
    </font>
    <font>
      <sz val="10"/>
      <color indexed="8"/>
      <name val="Arial"/>
      <family val="2"/>
    </font>
    <font>
      <b/>
      <sz val="10"/>
      <color indexed="8"/>
      <name val="Arial"/>
      <family val="2"/>
    </font>
    <font>
      <b/>
      <sz val="10"/>
      <name val="Arial"/>
      <family val="2"/>
    </font>
    <font>
      <i/>
      <sz val="1"/>
      <color indexed="8"/>
      <name val="Courier"/>
    </font>
    <font>
      <i/>
      <sz val="10"/>
      <color indexed="8"/>
      <name val="Arial"/>
      <family val="2"/>
    </font>
    <font>
      <sz val="12"/>
      <color indexed="10"/>
      <name val="Arial"/>
      <family val="2"/>
    </font>
    <font>
      <sz val="8"/>
      <color indexed="81"/>
      <name val="Tahoma"/>
    </font>
    <font>
      <b/>
      <sz val="8"/>
      <color indexed="81"/>
      <name val="Tahoma"/>
    </font>
    <font>
      <sz val="10"/>
      <name val="Arial Narrow"/>
    </font>
    <font>
      <sz val="12"/>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sz val="9"/>
      <name val="Arial"/>
    </font>
    <font>
      <b/>
      <sz val="11"/>
      <color indexed="10"/>
      <name val="Arial"/>
      <family val="2"/>
    </font>
    <font>
      <b/>
      <sz val="15"/>
      <name val="Arial"/>
      <family val="2"/>
    </font>
    <font>
      <b/>
      <sz val="12"/>
      <color indexed="10"/>
      <name val="Arial"/>
      <family val="2"/>
    </font>
    <font>
      <b/>
      <i/>
      <sz val="12"/>
      <color indexed="10"/>
      <name val="Arial"/>
      <family val="2"/>
    </font>
    <font>
      <i/>
      <sz val="10"/>
      <name val="Arial"/>
      <family val="2"/>
    </font>
    <font>
      <b/>
      <i/>
      <sz val="10"/>
      <name val="Arial"/>
      <family val="2"/>
    </font>
    <font>
      <b/>
      <i/>
      <sz val="12"/>
      <name val="Arial"/>
      <family val="2"/>
    </font>
    <font>
      <b/>
      <i/>
      <sz val="12"/>
      <color indexed="53"/>
      <name val="Arial"/>
      <family val="2"/>
    </font>
    <font>
      <i/>
      <sz val="12"/>
      <name val="Arial"/>
      <family val="2"/>
    </font>
    <font>
      <i/>
      <sz val="12"/>
      <color indexed="12"/>
      <name val="Arial"/>
      <family val="2"/>
    </font>
    <font>
      <b/>
      <i/>
      <sz val="12"/>
      <color indexed="12"/>
      <name val="Arial"/>
      <family val="2"/>
    </font>
    <font>
      <b/>
      <sz val="14"/>
      <color indexed="12"/>
      <name val="Arial"/>
      <family val="2"/>
    </font>
    <font>
      <b/>
      <sz val="18"/>
      <color indexed="10"/>
      <name val="Arial"/>
      <family val="2"/>
    </font>
    <font>
      <sz val="14"/>
      <name val="Arial"/>
      <family val="2"/>
    </font>
    <font>
      <b/>
      <i/>
      <sz val="10"/>
      <color indexed="10"/>
      <name val="Arial"/>
      <family val="2"/>
    </font>
    <font>
      <b/>
      <sz val="12"/>
      <color indexed="8"/>
      <name val="Arial"/>
      <family val="2"/>
    </font>
    <font>
      <b/>
      <sz val="10"/>
      <color indexed="12"/>
      <name val="Arial"/>
      <family val="2"/>
    </font>
    <font>
      <b/>
      <sz val="16"/>
      <color indexed="12"/>
      <name val="Arial"/>
      <family val="2"/>
    </font>
    <font>
      <b/>
      <sz val="12"/>
      <color indexed="12"/>
      <name val="Arial"/>
      <family val="2"/>
    </font>
    <font>
      <sz val="14"/>
      <color indexed="8"/>
      <name val="Arial"/>
      <family val="2"/>
    </font>
    <font>
      <b/>
      <u/>
      <sz val="12"/>
      <color indexed="12"/>
      <name val="Arial"/>
      <family val="2"/>
    </font>
    <font>
      <b/>
      <sz val="11"/>
      <color indexed="8"/>
      <name val="Arial"/>
      <family val="2"/>
    </font>
    <font>
      <b/>
      <sz val="11"/>
      <color indexed="12"/>
      <name val="Arial"/>
      <family val="2"/>
    </font>
    <font>
      <sz val="12"/>
      <color indexed="8"/>
      <name val="Arial"/>
      <family val="2"/>
    </font>
    <font>
      <b/>
      <u/>
      <sz val="14"/>
      <color indexed="12"/>
      <name val="Arial"/>
      <family val="2"/>
    </font>
    <font>
      <b/>
      <u/>
      <sz val="11"/>
      <name val="Arial"/>
      <family val="2"/>
    </font>
    <font>
      <b/>
      <sz val="22"/>
      <color indexed="10"/>
      <name val="Arial"/>
      <family val="2"/>
    </font>
    <font>
      <sz val="22"/>
      <name val="Arial"/>
      <family val="2"/>
    </font>
    <font>
      <b/>
      <sz val="10"/>
      <color indexed="81"/>
      <name val="Tahoma"/>
      <family val="2"/>
    </font>
    <font>
      <sz val="10"/>
      <color indexed="81"/>
      <name val="Tahoma"/>
      <family val="2"/>
    </font>
    <font>
      <i/>
      <sz val="11"/>
      <name val="Arial"/>
      <family val="2"/>
    </font>
    <font>
      <i/>
      <sz val="14"/>
      <name val="Arial"/>
      <family val="2"/>
    </font>
    <font>
      <b/>
      <sz val="20"/>
      <color indexed="10"/>
      <name val="Arial"/>
      <family val="2"/>
    </font>
    <font>
      <b/>
      <u/>
      <sz val="12"/>
      <color indexed="16"/>
      <name val="Arial"/>
      <family val="2"/>
    </font>
    <font>
      <b/>
      <sz val="12"/>
      <color indexed="16"/>
      <name val="Arial"/>
      <family val="2"/>
    </font>
    <font>
      <sz val="12"/>
      <color indexed="16"/>
      <name val="Arial"/>
      <family val="2"/>
    </font>
    <font>
      <b/>
      <u/>
      <sz val="10"/>
      <color indexed="16"/>
      <name val="Arial"/>
      <family val="2"/>
    </font>
    <font>
      <sz val="20"/>
      <color indexed="10"/>
      <name val="Arial"/>
      <family val="2"/>
    </font>
    <font>
      <sz val="16"/>
      <name val="Arial"/>
      <family val="2"/>
    </font>
    <font>
      <sz val="9"/>
      <name val="Arial"/>
      <family val="2"/>
    </font>
    <font>
      <b/>
      <u/>
      <sz val="12"/>
      <name val="Arial"/>
      <family val="2"/>
    </font>
    <font>
      <b/>
      <i/>
      <u/>
      <sz val="14"/>
      <color indexed="8"/>
      <name val="Arial"/>
      <family val="2"/>
    </font>
    <font>
      <b/>
      <u/>
      <sz val="12"/>
      <color indexed="10"/>
      <name val="Arial"/>
      <family val="2"/>
    </font>
    <font>
      <b/>
      <i/>
      <sz val="11"/>
      <name val="Arial"/>
      <family val="2"/>
    </font>
    <font>
      <sz val="11"/>
      <color indexed="10"/>
      <name val="Arial"/>
      <family val="2"/>
    </font>
    <font>
      <b/>
      <sz val="12"/>
      <color indexed="17"/>
      <name val="Arial"/>
      <family val="2"/>
    </font>
    <font>
      <b/>
      <sz val="12"/>
      <color indexed="57"/>
      <name val="Arial"/>
      <family val="2"/>
    </font>
    <font>
      <sz val="10"/>
      <color indexed="10"/>
      <name val="Arial"/>
      <family val="2"/>
    </font>
    <font>
      <b/>
      <sz val="18"/>
      <color indexed="60"/>
      <name val="Arial"/>
      <family val="2"/>
    </font>
    <font>
      <sz val="12"/>
      <color indexed="60"/>
      <name val="Arial"/>
      <family val="2"/>
    </font>
    <font>
      <b/>
      <sz val="11"/>
      <color indexed="15"/>
      <name val="Arial"/>
      <family val="2"/>
    </font>
    <font>
      <sz val="11"/>
      <color indexed="41"/>
      <name val="Arial"/>
      <family val="2"/>
    </font>
    <font>
      <sz val="11"/>
      <color indexed="15"/>
      <name val="Arial"/>
      <family val="2"/>
    </font>
    <font>
      <b/>
      <sz val="22"/>
      <color indexed="57"/>
      <name val="Arial"/>
      <family val="2"/>
    </font>
    <font>
      <b/>
      <sz val="11"/>
      <color indexed="17"/>
      <name val="Arial"/>
      <family val="2"/>
    </font>
    <font>
      <i/>
      <sz val="11"/>
      <color indexed="12"/>
      <name val="Arial"/>
      <family val="2"/>
    </font>
    <font>
      <b/>
      <sz val="12"/>
      <color indexed="58"/>
      <name val="Arial"/>
      <family val="2"/>
    </font>
    <font>
      <b/>
      <sz val="14"/>
      <name val="Arial"/>
      <family val="2"/>
    </font>
    <font>
      <sz val="12"/>
      <color indexed="22"/>
      <name val="Courier"/>
    </font>
    <font>
      <b/>
      <sz val="18"/>
      <color indexed="12"/>
      <name val="Arial"/>
      <family val="2"/>
    </font>
    <font>
      <sz val="18"/>
      <color indexed="12"/>
      <name val="Arial"/>
      <family val="2"/>
    </font>
    <font>
      <b/>
      <sz val="16"/>
      <color indexed="16"/>
      <name val="Arial"/>
      <family val="2"/>
    </font>
    <font>
      <sz val="16"/>
      <color indexed="16"/>
      <name val="Arial"/>
      <family val="2"/>
    </font>
    <font>
      <sz val="11"/>
      <color indexed="17"/>
      <name val="Arial"/>
      <family val="2"/>
    </font>
    <font>
      <sz val="8"/>
      <name val="Arial"/>
      <family val="2"/>
    </font>
    <font>
      <b/>
      <u/>
      <sz val="16"/>
      <name val="Arial"/>
      <family val="2"/>
    </font>
    <font>
      <b/>
      <sz val="10"/>
      <color indexed="16"/>
      <name val="Arial"/>
      <family val="2"/>
    </font>
    <font>
      <b/>
      <u/>
      <sz val="18"/>
      <name val="Arial"/>
      <family val="2"/>
    </font>
    <font>
      <b/>
      <i/>
      <sz val="10"/>
      <color indexed="8"/>
      <name val="Arial"/>
      <family val="2"/>
    </font>
    <font>
      <sz val="9"/>
      <color indexed="8"/>
      <name val="Arial"/>
      <family val="2"/>
    </font>
    <font>
      <u/>
      <sz val="12"/>
      <name val="Arial"/>
      <family val="2"/>
    </font>
    <font>
      <b/>
      <u/>
      <sz val="14"/>
      <name val="Arial"/>
      <family val="2"/>
    </font>
    <font>
      <sz val="14"/>
      <color indexed="12"/>
      <name val="Arial"/>
      <family val="2"/>
    </font>
    <font>
      <sz val="18"/>
      <name val="Arial"/>
      <family val="2"/>
    </font>
    <font>
      <sz val="10"/>
      <color indexed="41"/>
      <name val="Arial"/>
      <family val="2"/>
    </font>
    <font>
      <b/>
      <sz val="8"/>
      <color indexed="8"/>
      <name val="Arial"/>
      <family val="2"/>
    </font>
    <font>
      <sz val="8"/>
      <color indexed="8"/>
      <name val="Arial"/>
      <family val="2"/>
    </font>
    <font>
      <b/>
      <sz val="9"/>
      <color indexed="8"/>
      <name val="Arial"/>
      <family val="2"/>
    </font>
    <font>
      <b/>
      <sz val="11"/>
      <color indexed="41"/>
      <name val="Arial"/>
      <family val="2"/>
    </font>
    <font>
      <b/>
      <sz val="14"/>
      <color indexed="58"/>
      <name val="Arial"/>
      <family val="2"/>
    </font>
    <font>
      <b/>
      <i/>
      <sz val="14"/>
      <color indexed="10"/>
      <name val="Arial"/>
      <family val="2"/>
    </font>
    <font>
      <b/>
      <i/>
      <sz val="14"/>
      <name val="Arial"/>
      <family val="2"/>
    </font>
    <font>
      <b/>
      <sz val="14"/>
      <color indexed="10"/>
      <name val="Arial"/>
      <family val="2"/>
    </font>
    <font>
      <sz val="12"/>
      <color indexed="10"/>
      <name val="Tahoma"/>
      <family val="2"/>
    </font>
    <font>
      <sz val="10"/>
      <color indexed="10"/>
      <name val="Tahoma"/>
      <family val="2"/>
    </font>
    <font>
      <sz val="14"/>
      <color indexed="10"/>
      <name val="Courier"/>
    </font>
    <font>
      <sz val="11"/>
      <color indexed="9"/>
      <name val="Arial"/>
      <family val="2"/>
    </font>
    <font>
      <sz val="8"/>
      <color indexed="10"/>
      <name val="Tahoma"/>
      <family val="2"/>
    </font>
    <font>
      <b/>
      <sz val="12"/>
      <name val="Courier"/>
      <family val="3"/>
    </font>
    <font>
      <b/>
      <sz val="10"/>
      <color indexed="10"/>
      <name val="Tahoma"/>
      <family val="2"/>
    </font>
    <font>
      <b/>
      <sz val="12"/>
      <color indexed="10"/>
      <name val="Tahoma"/>
      <family val="2"/>
    </font>
    <font>
      <b/>
      <sz val="11"/>
      <color indexed="10"/>
      <name val="Arial Narrow"/>
      <family val="2"/>
    </font>
    <font>
      <sz val="12"/>
      <color indexed="10"/>
      <name val="Courier"/>
    </font>
    <font>
      <sz val="10"/>
      <name val="Courier"/>
    </font>
    <font>
      <sz val="14"/>
      <name val="Courier"/>
    </font>
    <font>
      <sz val="14"/>
      <color indexed="10"/>
      <name val="Arial"/>
      <family val="2"/>
    </font>
    <font>
      <sz val="11"/>
      <name val="Arial"/>
    </font>
    <font>
      <sz val="11"/>
      <name val="Courier"/>
    </font>
    <font>
      <sz val="7"/>
      <name val="Times New Roman"/>
      <family val="1"/>
    </font>
    <font>
      <b/>
      <u/>
      <sz val="10"/>
      <name val="Arial"/>
      <family val="2"/>
    </font>
  </fonts>
  <fills count="13">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lightTrellis"/>
    </fill>
    <fill>
      <patternFill patternType="solid">
        <fgColor indexed="13"/>
        <bgColor indexed="64"/>
      </patternFill>
    </fill>
    <fill>
      <patternFill patternType="solid">
        <fgColor indexed="22"/>
        <bgColor indexed="64"/>
      </patternFill>
    </fill>
    <fill>
      <patternFill patternType="solid">
        <fgColor indexed="43"/>
        <bgColor indexed="9"/>
      </patternFill>
    </fill>
    <fill>
      <patternFill patternType="solid">
        <fgColor indexed="47"/>
        <bgColor indexed="64"/>
      </patternFill>
    </fill>
    <fill>
      <patternFill patternType="solid">
        <fgColor indexed="52"/>
        <bgColor indexed="64"/>
      </patternFill>
    </fill>
    <fill>
      <patternFill patternType="solid">
        <fgColor indexed="41"/>
        <bgColor indexed="64"/>
      </patternFill>
    </fill>
  </fills>
  <borders count="196">
    <border>
      <left/>
      <right/>
      <top/>
      <bottom/>
      <diagonal/>
    </border>
    <border>
      <left/>
      <right/>
      <top style="thin">
        <color indexed="64"/>
      </top>
      <bottom style="double">
        <color indexed="64"/>
      </bottom>
      <diagonal/>
    </border>
    <border>
      <left style="double">
        <color indexed="64"/>
      </left>
      <right/>
      <top/>
      <bottom/>
      <diagonal/>
    </border>
    <border>
      <left style="double">
        <color indexed="64"/>
      </left>
      <right/>
      <top/>
      <bottom style="medium">
        <color indexed="64"/>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style="medium">
        <color indexed="64"/>
      </top>
      <bottom/>
      <diagonal/>
    </border>
    <border>
      <left/>
      <right/>
      <top/>
      <bottom style="thin">
        <color indexed="64"/>
      </bottom>
      <diagonal/>
    </border>
    <border>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bottom/>
      <diagonal/>
    </border>
    <border>
      <left style="double">
        <color indexed="64"/>
      </left>
      <right/>
      <top style="medium">
        <color indexed="64"/>
      </top>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style="thin">
        <color indexed="64"/>
      </right>
      <top style="medium">
        <color indexed="64"/>
      </top>
      <bottom/>
      <diagonal/>
    </border>
    <border>
      <left style="double">
        <color indexed="64"/>
      </left>
      <right style="thin">
        <color indexed="64"/>
      </right>
      <top style="double">
        <color indexed="64"/>
      </top>
      <bottom/>
      <diagonal/>
    </border>
    <border>
      <left style="double">
        <color indexed="64"/>
      </left>
      <right/>
      <top style="dashed">
        <color indexed="64"/>
      </top>
      <bottom/>
      <diagonal/>
    </border>
    <border>
      <left style="double">
        <color indexed="64"/>
      </left>
      <right/>
      <top/>
      <bottom style="dashed">
        <color indexed="64"/>
      </bottom>
      <diagonal/>
    </border>
    <border>
      <left style="thin">
        <color indexed="64"/>
      </left>
      <right/>
      <top style="thin">
        <color indexed="64"/>
      </top>
      <bottom style="thin">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top style="double">
        <color indexed="64"/>
      </top>
      <bottom/>
      <diagonal/>
    </border>
    <border>
      <left/>
      <right style="double">
        <color indexed="64"/>
      </right>
      <top/>
      <bottom style="thin">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thin">
        <color indexed="64"/>
      </top>
      <bottom style="thin">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style="double">
        <color indexed="64"/>
      </left>
      <right/>
      <top style="double">
        <color indexed="64"/>
      </top>
      <bottom style="dash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uble">
        <color indexed="64"/>
      </bottom>
      <diagonal/>
    </border>
    <border>
      <left style="double">
        <color indexed="64"/>
      </left>
      <right/>
      <top/>
      <bottom style="dotted">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medium">
        <color indexed="64"/>
      </bottom>
      <diagonal/>
    </border>
    <border>
      <left style="double">
        <color indexed="64"/>
      </left>
      <right/>
      <top style="medium">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thin">
        <color indexed="8"/>
      </left>
      <right/>
      <top/>
      <bottom style="double">
        <color indexed="64"/>
      </bottom>
      <diagonal/>
    </border>
    <border>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double">
        <color indexed="64"/>
      </top>
      <bottom style="thin">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ashed">
        <color indexed="64"/>
      </bottom>
      <diagonal/>
    </border>
    <border>
      <left style="thin">
        <color indexed="64"/>
      </left>
      <right/>
      <top/>
      <bottom style="dashed">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double">
        <color indexed="64"/>
      </top>
      <bottom/>
      <diagonal/>
    </border>
    <border>
      <left/>
      <right style="thin">
        <color indexed="64"/>
      </right>
      <top style="medium">
        <color indexed="64"/>
      </top>
      <bottom style="double">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thin">
        <color indexed="64"/>
      </right>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style="thin">
        <color indexed="8"/>
      </right>
      <top/>
      <bottom style="double">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7">
    <xf numFmtId="0" fontId="0" fillId="0" borderId="0"/>
    <xf numFmtId="170" fontId="1" fillId="0" borderId="0" applyFont="0" applyFill="0" applyBorder="0" applyAlignment="0" applyProtection="0"/>
    <xf numFmtId="176"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74" fontId="2" fillId="0" borderId="0">
      <protection locked="0"/>
    </xf>
    <xf numFmtId="175" fontId="3" fillId="0" borderId="0">
      <protection locked="0"/>
    </xf>
    <xf numFmtId="175" fontId="3" fillId="0" borderId="0">
      <protection locked="0"/>
    </xf>
    <xf numFmtId="0" fontId="24" fillId="0" borderId="0"/>
    <xf numFmtId="0" fontId="13" fillId="0" borderId="0"/>
    <xf numFmtId="9" fontId="1" fillId="0" borderId="0" applyFont="0" applyFill="0" applyBorder="0" applyAlignment="0" applyProtection="0"/>
    <xf numFmtId="175" fontId="2" fillId="0" borderId="1">
      <protection locked="0"/>
    </xf>
  </cellStyleXfs>
  <cellXfs count="1543">
    <xf numFmtId="0" fontId="0" fillId="0" borderId="0" xfId="0"/>
    <xf numFmtId="0" fontId="5" fillId="0" borderId="0" xfId="0" applyFont="1" applyFill="1" applyBorder="1" applyProtection="1"/>
    <xf numFmtId="0" fontId="0" fillId="0" borderId="0" xfId="0" applyBorder="1"/>
    <xf numFmtId="0" fontId="16" fillId="0" borderId="0" xfId="0" applyFont="1"/>
    <xf numFmtId="0" fontId="16" fillId="0" borderId="0" xfId="0" applyFont="1" applyBorder="1" applyAlignment="1" applyProtection="1">
      <alignment horizontal="left" vertical="center"/>
    </xf>
    <xf numFmtId="0" fontId="16"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9" fontId="6" fillId="0" borderId="2" xfId="0" applyNumberFormat="1" applyFont="1" applyFill="1" applyBorder="1" applyAlignment="1" applyProtection="1">
      <alignment vertical="center" wrapText="1"/>
    </xf>
    <xf numFmtId="0" fontId="0" fillId="0" borderId="0" xfId="0" applyAlignment="1">
      <alignment horizontal="left" vertical="center"/>
    </xf>
    <xf numFmtId="0" fontId="4" fillId="0" borderId="0" xfId="0" applyFont="1" applyBorder="1" applyAlignment="1" applyProtection="1">
      <alignment horizontal="left" vertical="center"/>
    </xf>
    <xf numFmtId="9" fontId="5" fillId="0" borderId="2" xfId="0" applyNumberFormat="1" applyFont="1" applyFill="1" applyBorder="1" applyAlignment="1" applyProtection="1">
      <alignment horizontal="left" vertical="center" wrapText="1"/>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178" fontId="5" fillId="0" borderId="4" xfId="0" applyNumberFormat="1" applyFont="1" applyFill="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6" fillId="0" borderId="2"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7"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Border="1" applyAlignment="1" applyProtection="1">
      <alignment vertical="center"/>
    </xf>
    <xf numFmtId="0" fontId="7" fillId="0" borderId="0" xfId="0" applyFont="1" applyBorder="1" applyAlignment="1" applyProtection="1">
      <alignment vertical="center"/>
    </xf>
    <xf numFmtId="0" fontId="16" fillId="0" borderId="0" xfId="0" applyFont="1" applyFill="1" applyBorder="1" applyAlignment="1" applyProtection="1">
      <alignment horizontal="right" vertical="center"/>
    </xf>
    <xf numFmtId="178" fontId="4" fillId="0" borderId="0" xfId="0" applyNumberFormat="1" applyFont="1" applyFill="1" applyBorder="1" applyAlignment="1" applyProtection="1">
      <alignment vertical="center"/>
    </xf>
    <xf numFmtId="0" fontId="29" fillId="0" borderId="6" xfId="0" applyFont="1" applyBorder="1" applyAlignment="1" applyProtection="1">
      <alignment vertical="center"/>
    </xf>
    <xf numFmtId="0" fontId="0" fillId="0" borderId="0" xfId="0" applyBorder="1" applyAlignment="1">
      <alignment vertical="center"/>
    </xf>
    <xf numFmtId="0" fontId="6" fillId="0" borderId="6" xfId="0" applyFont="1" applyFill="1" applyBorder="1" applyAlignment="1" applyProtection="1">
      <alignment vertical="center"/>
    </xf>
    <xf numFmtId="0" fontId="14" fillId="0" borderId="0" xfId="0" applyFont="1" applyBorder="1" applyAlignment="1" applyProtection="1">
      <alignment vertical="center"/>
    </xf>
    <xf numFmtId="0" fontId="17" fillId="0" borderId="2" xfId="0" applyFont="1" applyBorder="1" applyAlignment="1" applyProtection="1">
      <alignment vertical="center"/>
    </xf>
    <xf numFmtId="0" fontId="16" fillId="0" borderId="6" xfId="0" applyFont="1" applyBorder="1" applyAlignment="1" applyProtection="1">
      <alignment vertical="center"/>
    </xf>
    <xf numFmtId="0" fontId="14" fillId="0" borderId="6" xfId="0" applyFont="1" applyBorder="1" applyAlignment="1" applyProtection="1">
      <alignment vertical="center"/>
    </xf>
    <xf numFmtId="0" fontId="49" fillId="0" borderId="8"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0" fontId="4" fillId="0" borderId="0" xfId="15" applyNumberFormat="1" applyFont="1" applyFill="1" applyBorder="1" applyAlignment="1" applyProtection="1">
      <alignment vertical="center"/>
    </xf>
    <xf numFmtId="178" fontId="4" fillId="0" borderId="0" xfId="0" applyNumberFormat="1" applyFont="1" applyFill="1" applyBorder="1" applyAlignment="1" applyProtection="1">
      <alignment horizontal="center" vertical="center"/>
    </xf>
    <xf numFmtId="180" fontId="4" fillId="0" borderId="0" xfId="0" applyNumberFormat="1" applyFont="1" applyFill="1" applyBorder="1" applyAlignment="1" applyProtection="1">
      <alignment vertical="center"/>
    </xf>
    <xf numFmtId="178" fontId="4" fillId="0" borderId="0" xfId="0" applyNumberFormat="1" applyFont="1" applyFill="1" applyBorder="1" applyAlignment="1" applyProtection="1">
      <alignment horizontal="left" vertical="center"/>
    </xf>
    <xf numFmtId="178" fontId="7" fillId="0" borderId="11" xfId="0" applyNumberFormat="1" applyFont="1" applyFill="1" applyBorder="1" applyAlignment="1" applyProtection="1">
      <alignmen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8" fontId="4" fillId="0" borderId="0" xfId="0" applyNumberFormat="1" applyFont="1" applyBorder="1" applyAlignment="1" applyProtection="1">
      <alignment vertical="center"/>
    </xf>
    <xf numFmtId="178" fontId="38" fillId="0" borderId="0" xfId="0" applyNumberFormat="1" applyFont="1" applyFill="1" applyBorder="1" applyAlignment="1" applyProtection="1">
      <alignment vertical="center"/>
    </xf>
    <xf numFmtId="180" fontId="4" fillId="0" borderId="0" xfId="15" applyNumberFormat="1" applyFont="1" applyFill="1" applyBorder="1" applyAlignment="1" applyProtection="1">
      <alignment vertical="center"/>
    </xf>
    <xf numFmtId="9" fontId="4" fillId="0" borderId="0" xfId="15" applyFont="1" applyFill="1" applyBorder="1" applyAlignment="1" applyProtection="1">
      <alignment vertical="center"/>
    </xf>
    <xf numFmtId="0" fontId="5" fillId="0" borderId="0" xfId="0" applyFont="1" applyFill="1" applyBorder="1" applyAlignment="1" applyProtection="1">
      <alignment horizontal="center" vertical="center"/>
    </xf>
    <xf numFmtId="178" fontId="38" fillId="0" borderId="0" xfId="0" applyNumberFormat="1" applyFont="1" applyFill="1" applyBorder="1" applyAlignment="1" applyProtection="1">
      <alignment horizontal="center" vertical="center"/>
    </xf>
    <xf numFmtId="10" fontId="7" fillId="0" borderId="0" xfId="15" applyNumberFormat="1" applyFont="1" applyFill="1" applyBorder="1" applyAlignment="1" applyProtection="1">
      <alignment vertical="center"/>
    </xf>
    <xf numFmtId="9" fontId="4" fillId="0" borderId="7" xfId="0" applyNumberFormat="1" applyFont="1" applyFill="1" applyBorder="1" applyAlignment="1" applyProtection="1">
      <alignment vertical="center"/>
    </xf>
    <xf numFmtId="0" fontId="4" fillId="0" borderId="6" xfId="0" applyFont="1" applyBorder="1" applyAlignment="1" applyProtection="1">
      <alignment vertical="center"/>
    </xf>
    <xf numFmtId="0" fontId="4" fillId="0" borderId="6" xfId="0" applyFont="1" applyFill="1" applyBorder="1" applyAlignment="1" applyProtection="1">
      <alignment vertical="center"/>
    </xf>
    <xf numFmtId="0" fontId="4" fillId="0" borderId="6" xfId="0" applyFont="1" applyBorder="1" applyAlignment="1" applyProtection="1">
      <alignment horizontal="center" vertical="center"/>
    </xf>
    <xf numFmtId="178" fontId="4" fillId="0" borderId="6" xfId="0" applyNumberFormat="1" applyFont="1" applyBorder="1" applyAlignment="1" applyProtection="1">
      <alignment vertical="center"/>
    </xf>
    <xf numFmtId="178" fontId="4" fillId="0" borderId="6" xfId="0" applyNumberFormat="1" applyFont="1" applyFill="1" applyBorder="1" applyAlignment="1" applyProtection="1">
      <alignment vertical="center"/>
    </xf>
    <xf numFmtId="180" fontId="4" fillId="0" borderId="6" xfId="15" applyNumberFormat="1" applyFont="1" applyFill="1" applyBorder="1" applyAlignment="1" applyProtection="1">
      <alignment vertical="center"/>
    </xf>
    <xf numFmtId="178" fontId="4" fillId="0" borderId="6" xfId="0" applyNumberFormat="1" applyFont="1" applyFill="1" applyBorder="1" applyAlignment="1" applyProtection="1">
      <alignment horizontal="center" vertical="center"/>
    </xf>
    <xf numFmtId="178" fontId="4" fillId="0" borderId="4"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9" fontId="5" fillId="0" borderId="2" xfId="0" applyNumberFormat="1" applyFont="1" applyFill="1" applyBorder="1" applyAlignment="1" applyProtection="1">
      <alignment vertical="center"/>
    </xf>
    <xf numFmtId="0" fontId="5"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9" fontId="5" fillId="0" borderId="0" xfId="15" applyFont="1" applyFill="1" applyBorder="1" applyAlignment="1" applyProtection="1">
      <alignment vertical="center"/>
    </xf>
    <xf numFmtId="178" fontId="5" fillId="0" borderId="0" xfId="0" applyNumberFormat="1" applyFont="1" applyFill="1" applyBorder="1" applyAlignment="1" applyProtection="1">
      <alignment vertical="center"/>
    </xf>
    <xf numFmtId="178" fontId="5" fillId="0" borderId="0" xfId="0" applyNumberFormat="1" applyFont="1" applyFill="1" applyBorder="1" applyAlignment="1" applyProtection="1">
      <alignment horizontal="center" vertical="center"/>
    </xf>
    <xf numFmtId="2" fontId="4" fillId="0" borderId="0" xfId="0" applyNumberFormat="1" applyFont="1" applyBorder="1" applyAlignment="1" applyProtection="1">
      <alignment vertical="center"/>
    </xf>
    <xf numFmtId="2" fontId="5" fillId="0" borderId="0" xfId="15" applyNumberFormat="1" applyFont="1" applyFill="1" applyBorder="1" applyAlignment="1" applyProtection="1">
      <alignment vertical="center"/>
    </xf>
    <xf numFmtId="9" fontId="5" fillId="0" borderId="7" xfId="0" applyNumberFormat="1" applyFont="1" applyFill="1" applyBorder="1" applyAlignment="1" applyProtection="1">
      <alignment vertical="center"/>
    </xf>
    <xf numFmtId="0" fontId="7" fillId="0" borderId="6" xfId="0" applyFont="1" applyBorder="1" applyAlignment="1" applyProtection="1">
      <alignment vertical="center"/>
    </xf>
    <xf numFmtId="2" fontId="5" fillId="0" borderId="6" xfId="0" applyNumberFormat="1" applyFont="1" applyFill="1" applyBorder="1" applyAlignment="1" applyProtection="1">
      <alignment vertical="center"/>
    </xf>
    <xf numFmtId="0" fontId="5" fillId="0" borderId="6" xfId="0" applyFont="1" applyFill="1" applyBorder="1" applyAlignment="1" applyProtection="1">
      <alignment horizontal="center" vertical="center"/>
    </xf>
    <xf numFmtId="9" fontId="5" fillId="0" borderId="6" xfId="15" applyFont="1" applyFill="1" applyBorder="1" applyAlignment="1" applyProtection="1">
      <alignment vertical="center"/>
    </xf>
    <xf numFmtId="178" fontId="5" fillId="0" borderId="6" xfId="0" applyNumberFormat="1" applyFont="1" applyFill="1" applyBorder="1" applyAlignment="1" applyProtection="1">
      <alignment vertical="center"/>
    </xf>
    <xf numFmtId="178" fontId="5" fillId="0" borderId="6" xfId="0" applyNumberFormat="1" applyFont="1" applyFill="1" applyBorder="1" applyAlignment="1" applyProtection="1">
      <alignment horizontal="center" vertical="center"/>
    </xf>
    <xf numFmtId="178" fontId="4" fillId="0" borderId="12" xfId="0" applyNumberFormat="1" applyFont="1" applyFill="1" applyBorder="1" applyAlignment="1" applyProtection="1">
      <alignment vertical="center"/>
    </xf>
    <xf numFmtId="178" fontId="5" fillId="0" borderId="4" xfId="0" applyNumberFormat="1" applyFont="1" applyFill="1" applyBorder="1" applyAlignment="1" applyProtection="1">
      <alignment horizontal="center" vertical="center"/>
    </xf>
    <xf numFmtId="178" fontId="4" fillId="0" borderId="4" xfId="0" applyNumberFormat="1" applyFont="1" applyFill="1" applyBorder="1" applyAlignment="1" applyProtection="1">
      <alignment horizontal="left" vertical="center"/>
    </xf>
    <xf numFmtId="0" fontId="5" fillId="0" borderId="9" xfId="0" applyFont="1" applyFill="1" applyBorder="1" applyAlignment="1" applyProtection="1">
      <alignment vertical="center"/>
    </xf>
    <xf numFmtId="0" fontId="49" fillId="0" borderId="2" xfId="0" applyFont="1" applyFill="1" applyBorder="1" applyAlignment="1" applyProtection="1">
      <alignment vertical="center"/>
    </xf>
    <xf numFmtId="177" fontId="5" fillId="0" borderId="0" xfId="0" applyNumberFormat="1" applyFont="1" applyFill="1" applyBorder="1" applyAlignment="1" applyProtection="1">
      <alignment vertical="center"/>
    </xf>
    <xf numFmtId="0" fontId="5" fillId="0" borderId="4" xfId="0" applyFont="1" applyFill="1" applyBorder="1" applyAlignment="1" applyProtection="1">
      <alignment horizontal="center" vertical="center"/>
    </xf>
    <xf numFmtId="0" fontId="4" fillId="0" borderId="4" xfId="0" applyFont="1" applyBorder="1" applyAlignment="1" applyProtection="1">
      <alignment vertical="center"/>
    </xf>
    <xf numFmtId="9" fontId="5" fillId="0" borderId="4" xfId="15" applyFont="1" applyFill="1" applyBorder="1" applyAlignment="1" applyProtection="1">
      <alignment vertical="center"/>
    </xf>
    <xf numFmtId="178" fontId="4" fillId="0" borderId="4" xfId="0" applyNumberFormat="1" applyFont="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73" fontId="5" fillId="0" borderId="0" xfId="0" applyNumberFormat="1" applyFont="1" applyFill="1" applyBorder="1" applyAlignment="1" applyProtection="1">
      <alignment horizontal="center" vertical="center"/>
    </xf>
    <xf numFmtId="172"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8" fontId="6"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0" fontId="4"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172" fontId="5" fillId="0" borderId="0" xfId="0" applyNumberFormat="1" applyFont="1" applyFill="1" applyBorder="1" applyAlignment="1" applyProtection="1">
      <alignment vertical="center"/>
    </xf>
    <xf numFmtId="0" fontId="5" fillId="0" borderId="8" xfId="0" applyFont="1" applyFill="1" applyBorder="1" applyAlignment="1" applyProtection="1">
      <alignment vertical="center"/>
    </xf>
    <xf numFmtId="0" fontId="5"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173" fontId="5" fillId="0" borderId="9"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left" vertical="center"/>
    </xf>
    <xf numFmtId="0" fontId="4" fillId="0" borderId="13" xfId="0" applyFont="1" applyBorder="1" applyAlignment="1" applyProtection="1">
      <alignment vertical="center"/>
    </xf>
    <xf numFmtId="0" fontId="5" fillId="0" borderId="13" xfId="0" applyFont="1" applyFill="1" applyBorder="1" applyAlignment="1" applyProtection="1">
      <alignment horizontal="left" vertical="center"/>
    </xf>
    <xf numFmtId="0" fontId="5" fillId="0" borderId="1" xfId="0" applyFont="1" applyFill="1" applyBorder="1" applyAlignment="1" applyProtection="1">
      <alignment vertical="center"/>
    </xf>
    <xf numFmtId="0" fontId="4" fillId="0" borderId="11" xfId="0" applyFont="1" applyBorder="1" applyAlignment="1" applyProtection="1">
      <alignment vertical="center"/>
    </xf>
    <xf numFmtId="0" fontId="4" fillId="0" borderId="14" xfId="0" applyFont="1" applyBorder="1" applyAlignment="1" applyProtection="1">
      <alignment vertical="center"/>
    </xf>
    <xf numFmtId="49" fontId="4" fillId="0" borderId="0" xfId="0" applyNumberFormat="1" applyFont="1" applyBorder="1" applyAlignment="1" applyProtection="1">
      <alignment vertical="center"/>
    </xf>
    <xf numFmtId="0" fontId="4" fillId="0" borderId="7" xfId="0" applyFont="1" applyBorder="1" applyAlignment="1" applyProtection="1">
      <alignment vertical="center"/>
    </xf>
    <xf numFmtId="0" fontId="4" fillId="0" borderId="2" xfId="0" applyFont="1" applyBorder="1" applyAlignment="1" applyProtection="1">
      <alignment horizontal="center" vertical="center"/>
    </xf>
    <xf numFmtId="1" fontId="29" fillId="0" borderId="0" xfId="0" applyNumberFormat="1" applyFont="1" applyBorder="1" applyAlignment="1" applyProtection="1">
      <alignment horizontal="center" vertical="center"/>
    </xf>
    <xf numFmtId="0" fontId="29" fillId="0" borderId="0" xfId="0" applyFont="1" applyBorder="1" applyAlignment="1" applyProtection="1">
      <alignment vertical="center"/>
    </xf>
    <xf numFmtId="0" fontId="29" fillId="0" borderId="11" xfId="0" applyFont="1" applyBorder="1" applyAlignment="1" applyProtection="1">
      <alignment vertical="center"/>
    </xf>
    <xf numFmtId="0" fontId="7" fillId="0" borderId="7" xfId="0" applyFont="1" applyBorder="1" applyAlignment="1" applyProtection="1">
      <alignment vertical="center"/>
    </xf>
    <xf numFmtId="0" fontId="39" fillId="0" borderId="6" xfId="0" applyFont="1" applyBorder="1" applyAlignment="1" applyProtection="1">
      <alignment vertical="center"/>
    </xf>
    <xf numFmtId="1" fontId="29" fillId="0" borderId="6" xfId="0" applyNumberFormat="1" applyFont="1" applyBorder="1" applyAlignment="1" applyProtection="1">
      <alignment horizontal="left" vertical="center"/>
    </xf>
    <xf numFmtId="0" fontId="7" fillId="0" borderId="6" xfId="0" applyFont="1" applyFill="1" applyBorder="1" applyAlignment="1" applyProtection="1">
      <alignment horizontal="left" vertical="center"/>
    </xf>
    <xf numFmtId="0" fontId="29" fillId="0" borderId="6" xfId="0" applyFont="1" applyBorder="1" applyAlignment="1" applyProtection="1">
      <alignment horizontal="left" vertical="center"/>
    </xf>
    <xf numFmtId="9" fontId="45" fillId="0" borderId="2" xfId="0" applyNumberFormat="1" applyFont="1" applyFill="1" applyBorder="1" applyAlignment="1" applyProtection="1">
      <alignment vertical="center"/>
    </xf>
    <xf numFmtId="178" fontId="4" fillId="0" borderId="0" xfId="0" applyNumberFormat="1" applyFont="1" applyBorder="1" applyAlignment="1" applyProtection="1">
      <alignment horizontal="center" vertical="center"/>
    </xf>
    <xf numFmtId="0" fontId="45" fillId="0" borderId="2" xfId="0" applyFont="1" applyFill="1" applyBorder="1" applyAlignment="1" applyProtection="1">
      <alignment vertical="center"/>
    </xf>
    <xf numFmtId="9" fontId="5" fillId="0" borderId="3" xfId="0" applyNumberFormat="1" applyFont="1" applyFill="1" applyBorder="1" applyAlignment="1" applyProtection="1">
      <alignment vertical="center"/>
    </xf>
    <xf numFmtId="0" fontId="14" fillId="0" borderId="0" xfId="0" applyFont="1" applyBorder="1" applyAlignment="1">
      <alignment vertical="center"/>
    </xf>
    <xf numFmtId="0" fontId="50" fillId="0" borderId="0" xfId="0" applyFont="1" applyAlignment="1">
      <alignment vertical="center" wrapText="1"/>
    </xf>
    <xf numFmtId="0" fontId="14" fillId="0" borderId="9" xfId="0" applyFont="1" applyBorder="1" applyAlignment="1">
      <alignment vertical="center"/>
    </xf>
    <xf numFmtId="0" fontId="14" fillId="0" borderId="10" xfId="0" applyFont="1" applyBorder="1" applyAlignment="1">
      <alignment vertical="center"/>
    </xf>
    <xf numFmtId="0" fontId="14" fillId="0" borderId="2" xfId="0" applyFont="1" applyBorder="1" applyAlignment="1">
      <alignment vertical="center"/>
    </xf>
    <xf numFmtId="0" fontId="14" fillId="0" borderId="0" xfId="0" applyFont="1" applyAlignment="1">
      <alignment vertical="center"/>
    </xf>
    <xf numFmtId="0" fontId="14" fillId="0" borderId="11" xfId="0" applyFont="1" applyBorder="1" applyAlignment="1">
      <alignment vertical="center"/>
    </xf>
    <xf numFmtId="0" fontId="38" fillId="0" borderId="0" xfId="0" applyFont="1" applyBorder="1" applyAlignment="1" applyProtection="1">
      <alignment vertical="center"/>
    </xf>
    <xf numFmtId="2" fontId="4" fillId="0" borderId="0" xfId="0" applyNumberFormat="1" applyFont="1" applyFill="1" applyBorder="1" applyAlignment="1" applyProtection="1">
      <alignment horizontal="center" vertical="center"/>
    </xf>
    <xf numFmtId="2" fontId="5" fillId="0" borderId="4" xfId="0" applyNumberFormat="1" applyFont="1" applyFill="1" applyBorder="1" applyAlignment="1" applyProtection="1">
      <alignment vertical="center"/>
    </xf>
    <xf numFmtId="0" fontId="4" fillId="0" borderId="4" xfId="0" applyFont="1" applyFill="1" applyBorder="1" applyAlignment="1" applyProtection="1">
      <alignment horizontal="center" vertical="center"/>
    </xf>
    <xf numFmtId="178" fontId="6" fillId="0" borderId="0" xfId="0"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4" fillId="0" borderId="6" xfId="0" applyFont="1" applyBorder="1" applyAlignment="1">
      <alignment vertical="center"/>
    </xf>
    <xf numFmtId="0" fontId="16" fillId="2" borderId="10" xfId="0" applyFont="1" applyFill="1" applyBorder="1" applyAlignment="1" applyProtection="1">
      <alignment vertical="center"/>
    </xf>
    <xf numFmtId="0" fontId="16" fillId="2" borderId="6" xfId="0" applyFont="1" applyFill="1" applyBorder="1" applyAlignment="1" applyProtection="1">
      <alignment vertical="center"/>
    </xf>
    <xf numFmtId="0" fontId="25" fillId="0" borderId="0" xfId="0" applyFont="1" applyBorder="1" applyAlignment="1" applyProtection="1">
      <alignment vertical="center"/>
    </xf>
    <xf numFmtId="0" fontId="6" fillId="0" borderId="0" xfId="0" applyFont="1" applyFill="1" applyBorder="1" applyAlignment="1" applyProtection="1">
      <alignment horizontal="right" vertical="center"/>
    </xf>
    <xf numFmtId="0" fontId="47" fillId="0" borderId="0" xfId="0" applyFont="1" applyBorder="1" applyAlignment="1" applyProtection="1">
      <alignment vertical="center"/>
    </xf>
    <xf numFmtId="9" fontId="49" fillId="0" borderId="2" xfId="0" applyNumberFormat="1" applyFont="1" applyFill="1" applyBorder="1" applyAlignment="1" applyProtection="1">
      <alignment vertical="center"/>
    </xf>
    <xf numFmtId="0" fontId="14" fillId="0" borderId="0" xfId="0" applyFont="1"/>
    <xf numFmtId="49" fontId="14" fillId="0" borderId="0" xfId="0" applyNumberFormat="1" applyFont="1"/>
    <xf numFmtId="0" fontId="19" fillId="0" borderId="0" xfId="0" applyFont="1" applyFill="1" applyBorder="1" applyAlignment="1" applyProtection="1">
      <alignment horizontal="center" vertical="center"/>
    </xf>
    <xf numFmtId="0" fontId="19" fillId="0" borderId="0" xfId="0" applyFont="1" applyBorder="1" applyAlignment="1" applyProtection="1">
      <alignment vertical="center"/>
    </xf>
    <xf numFmtId="9" fontId="19" fillId="0" borderId="0" xfId="15" applyFont="1" applyFill="1" applyBorder="1" applyAlignment="1" applyProtection="1">
      <alignment vertical="center"/>
    </xf>
    <xf numFmtId="0" fontId="19" fillId="0" borderId="0" xfId="0" applyFont="1" applyFill="1" applyBorder="1" applyAlignment="1" applyProtection="1">
      <alignment vertical="center"/>
    </xf>
    <xf numFmtId="178" fontId="19" fillId="0" borderId="0" xfId="0" applyNumberFormat="1" applyFont="1" applyBorder="1" applyAlignment="1" applyProtection="1">
      <alignment vertical="center"/>
    </xf>
    <xf numFmtId="178" fontId="19" fillId="0" borderId="0" xfId="0" applyNumberFormat="1" applyFont="1" applyFill="1" applyBorder="1" applyAlignment="1" applyProtection="1">
      <alignment horizontal="center" vertical="center"/>
    </xf>
    <xf numFmtId="178" fontId="19" fillId="0" borderId="0" xfId="0" applyNumberFormat="1" applyFont="1" applyFill="1" applyBorder="1" applyAlignment="1" applyProtection="1">
      <alignment vertical="center"/>
    </xf>
    <xf numFmtId="173" fontId="6" fillId="0" borderId="0" xfId="0" applyNumberFormat="1" applyFont="1" applyFill="1" applyBorder="1" applyAlignment="1" applyProtection="1">
      <alignment vertical="center"/>
    </xf>
    <xf numFmtId="0" fontId="14" fillId="0" borderId="0" xfId="0" applyFont="1" applyBorder="1" applyAlignment="1" applyProtection="1">
      <alignment horizontal="right" vertical="center"/>
    </xf>
    <xf numFmtId="178" fontId="14" fillId="0" borderId="11" xfId="0" applyNumberFormat="1" applyFont="1" applyBorder="1" applyAlignment="1">
      <alignment vertical="center"/>
    </xf>
    <xf numFmtId="0" fontId="14" fillId="0" borderId="0" xfId="0" applyFont="1" applyBorder="1" applyAlignment="1">
      <alignment horizontal="center" vertical="center"/>
    </xf>
    <xf numFmtId="0" fontId="14" fillId="0" borderId="8" xfId="0" applyFont="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49" fontId="38" fillId="0" borderId="0" xfId="0" applyNumberFormat="1" applyFont="1" applyBorder="1" applyAlignment="1" applyProtection="1">
      <alignment horizontal="center" vertical="center"/>
    </xf>
    <xf numFmtId="0" fontId="25" fillId="3" borderId="15" xfId="0" applyFont="1" applyFill="1" applyBorder="1" applyAlignment="1" applyProtection="1">
      <alignment horizontal="center" vertical="center"/>
      <protection locked="0"/>
    </xf>
    <xf numFmtId="9" fontId="4" fillId="0" borderId="4" xfId="0" applyNumberFormat="1" applyFont="1" applyFill="1" applyBorder="1" applyAlignment="1" applyProtection="1">
      <alignment vertical="center"/>
    </xf>
    <xf numFmtId="0" fontId="4" fillId="0" borderId="4" xfId="0" applyFont="1" applyFill="1" applyBorder="1" applyAlignment="1" applyProtection="1">
      <alignment horizontal="left" vertical="center"/>
    </xf>
    <xf numFmtId="178" fontId="5" fillId="0" borderId="4" xfId="0" applyNumberFormat="1" applyFont="1" applyFill="1" applyBorder="1" applyAlignment="1" applyProtection="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6" fillId="0" borderId="2" xfId="0" applyFont="1" applyBorder="1" applyAlignment="1">
      <alignment vertical="center"/>
    </xf>
    <xf numFmtId="0" fontId="16" fillId="0" borderId="0" xfId="0" applyFont="1" applyBorder="1" applyAlignment="1">
      <alignment vertical="center"/>
    </xf>
    <xf numFmtId="0" fontId="16" fillId="0" borderId="11" xfId="0" applyFont="1" applyBorder="1" applyAlignment="1">
      <alignment vertical="center"/>
    </xf>
    <xf numFmtId="0" fontId="16" fillId="0" borderId="2"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7" fillId="0" borderId="2" xfId="0" applyFont="1" applyBorder="1" applyAlignment="1">
      <alignment horizontal="right" vertical="center"/>
    </xf>
    <xf numFmtId="14" fontId="16" fillId="3" borderId="19" xfId="0" applyNumberFormat="1" applyFont="1" applyFill="1" applyBorder="1" applyAlignment="1" applyProtection="1">
      <alignment vertical="center"/>
      <protection locked="0"/>
    </xf>
    <xf numFmtId="0" fontId="17" fillId="0" borderId="0" xfId="0" applyFont="1" applyBorder="1" applyAlignment="1">
      <alignment horizontal="right" vertical="center"/>
    </xf>
    <xf numFmtId="0" fontId="16" fillId="3" borderId="19" xfId="0" applyFont="1" applyFill="1" applyBorder="1" applyAlignment="1" applyProtection="1">
      <alignment vertical="center"/>
      <protection locked="0"/>
    </xf>
    <xf numFmtId="0" fontId="16" fillId="0" borderId="7" xfId="0" applyFont="1" applyBorder="1" applyAlignment="1">
      <alignment vertical="center"/>
    </xf>
    <xf numFmtId="0" fontId="16" fillId="0" borderId="6" xfId="0" applyFont="1" applyBorder="1" applyAlignment="1">
      <alignment vertical="center"/>
    </xf>
    <xf numFmtId="0" fontId="16" fillId="0" borderId="14" xfId="0" applyFont="1" applyBorder="1" applyAlignment="1">
      <alignment vertical="center"/>
    </xf>
    <xf numFmtId="0" fontId="17" fillId="0" borderId="20" xfId="0" applyFont="1" applyBorder="1" applyAlignment="1">
      <alignment vertical="center"/>
    </xf>
    <xf numFmtId="0" fontId="16" fillId="0" borderId="21" xfId="0" applyFont="1" applyBorder="1" applyAlignment="1">
      <alignment vertical="center"/>
    </xf>
    <xf numFmtId="14" fontId="20" fillId="3" borderId="22" xfId="0" applyNumberFormat="1" applyFont="1" applyFill="1" applyBorder="1" applyAlignment="1" applyProtection="1">
      <alignment vertical="center"/>
      <protection locked="0"/>
    </xf>
    <xf numFmtId="0" fontId="20" fillId="3" borderId="23" xfId="0" applyFont="1" applyFill="1" applyBorder="1" applyAlignment="1" applyProtection="1">
      <alignment vertical="center"/>
      <protection locked="0"/>
    </xf>
    <xf numFmtId="0" fontId="20" fillId="3" borderId="24" xfId="0" applyFont="1" applyFill="1" applyBorder="1" applyAlignment="1" applyProtection="1">
      <alignment vertical="center"/>
      <protection locked="0"/>
    </xf>
    <xf numFmtId="14" fontId="20" fillId="3" borderId="25" xfId="0" applyNumberFormat="1" applyFont="1" applyFill="1" applyBorder="1" applyAlignment="1" applyProtection="1">
      <alignment vertical="center"/>
      <protection locked="0"/>
    </xf>
    <xf numFmtId="0" fontId="20" fillId="3" borderId="26" xfId="0" applyFont="1" applyFill="1" applyBorder="1" applyAlignment="1" applyProtection="1">
      <alignment vertical="center"/>
      <protection locked="0"/>
    </xf>
    <xf numFmtId="0" fontId="20" fillId="3" borderId="27" xfId="0" applyFont="1" applyFill="1" applyBorder="1" applyAlignment="1" applyProtection="1">
      <alignment vertical="center"/>
      <protection locked="0"/>
    </xf>
    <xf numFmtId="0" fontId="20" fillId="3" borderId="25" xfId="0" applyFont="1" applyFill="1" applyBorder="1" applyAlignment="1" applyProtection="1">
      <alignment vertical="center"/>
      <protection locked="0"/>
    </xf>
    <xf numFmtId="0" fontId="20" fillId="3" borderId="28" xfId="0" applyFont="1" applyFill="1" applyBorder="1" applyAlignment="1" applyProtection="1">
      <alignment vertical="center"/>
      <protection locked="0"/>
    </xf>
    <xf numFmtId="0" fontId="20" fillId="3" borderId="29" xfId="0" applyFont="1" applyFill="1" applyBorder="1" applyAlignment="1" applyProtection="1">
      <alignment vertical="center"/>
      <protection locked="0"/>
    </xf>
    <xf numFmtId="0" fontId="20" fillId="3" borderId="30" xfId="0" applyFont="1" applyFill="1" applyBorder="1" applyAlignment="1" applyProtection="1">
      <alignment vertical="center"/>
      <protection locked="0"/>
    </xf>
    <xf numFmtId="0" fontId="17" fillId="0" borderId="31" xfId="0" applyFont="1" applyBorder="1" applyAlignment="1">
      <alignment horizontal="right" vertical="center"/>
    </xf>
    <xf numFmtId="0" fontId="17" fillId="0" borderId="32" xfId="0" applyFont="1" applyBorder="1" applyAlignment="1">
      <alignment horizontal="right" vertical="center"/>
    </xf>
    <xf numFmtId="0" fontId="17" fillId="0" borderId="33" xfId="0" applyFont="1" applyBorder="1" applyAlignment="1">
      <alignment horizontal="right" vertical="center"/>
    </xf>
    <xf numFmtId="0" fontId="17" fillId="0" borderId="34" xfId="0" applyFont="1" applyBorder="1" applyAlignment="1">
      <alignment horizontal="right" vertical="center"/>
    </xf>
    <xf numFmtId="0" fontId="17" fillId="0" borderId="13" xfId="0" applyFont="1" applyBorder="1" applyAlignment="1">
      <alignment horizontal="right" vertical="center"/>
    </xf>
    <xf numFmtId="0" fontId="14" fillId="0" borderId="7" xfId="0" applyFont="1" applyBorder="1" applyAlignment="1">
      <alignment vertical="center"/>
    </xf>
    <xf numFmtId="0" fontId="14" fillId="0" borderId="14" xfId="0" applyFont="1" applyBorder="1" applyAlignment="1">
      <alignment vertical="center"/>
    </xf>
    <xf numFmtId="0" fontId="14" fillId="0" borderId="6" xfId="0" applyFont="1" applyBorder="1" applyAlignment="1">
      <alignment horizontal="right" vertical="center"/>
    </xf>
    <xf numFmtId="0" fontId="17" fillId="0" borderId="6" xfId="0" applyFont="1" applyBorder="1" applyAlignment="1">
      <alignment horizontal="right" vertical="center"/>
    </xf>
    <xf numFmtId="0" fontId="65" fillId="0" borderId="8" xfId="0" applyFont="1" applyBorder="1" applyAlignment="1">
      <alignment horizontal="left" vertical="center"/>
    </xf>
    <xf numFmtId="0" fontId="18" fillId="0" borderId="9" xfId="0" applyFont="1" applyBorder="1" applyAlignment="1">
      <alignment horizontal="center" vertical="center"/>
    </xf>
    <xf numFmtId="0" fontId="67" fillId="0" borderId="9" xfId="0" applyFont="1" applyBorder="1" applyAlignment="1" applyProtection="1">
      <alignment horizontal="left" vertical="center"/>
    </xf>
    <xf numFmtId="0" fontId="18" fillId="0" borderId="10" xfId="0" applyFont="1" applyBorder="1" applyAlignment="1">
      <alignment horizontal="center" vertical="center"/>
    </xf>
    <xf numFmtId="1" fontId="50" fillId="0" borderId="0" xfId="0" applyNumberFormat="1" applyFont="1" applyBorder="1" applyAlignment="1">
      <alignment horizontal="right" vertical="center"/>
    </xf>
    <xf numFmtId="1" fontId="14" fillId="0" borderId="0" xfId="0" applyNumberFormat="1" applyFont="1" applyBorder="1" applyAlignment="1">
      <alignment horizontal="left" vertical="center"/>
    </xf>
    <xf numFmtId="0" fontId="18" fillId="0" borderId="2" xfId="0" applyFont="1" applyBorder="1" applyAlignment="1">
      <alignment vertical="center"/>
    </xf>
    <xf numFmtId="0" fontId="18" fillId="0" borderId="0" xfId="0" applyFont="1" applyBorder="1" applyAlignment="1">
      <alignment vertical="center"/>
    </xf>
    <xf numFmtId="0" fontId="14" fillId="0" borderId="0" xfId="0" applyFont="1" applyFill="1" applyBorder="1" applyAlignment="1">
      <alignment vertical="center"/>
    </xf>
    <xf numFmtId="49" fontId="14" fillId="0" borderId="11" xfId="0" applyNumberFormat="1" applyFont="1" applyBorder="1" applyAlignment="1" applyProtection="1">
      <alignment vertical="center"/>
      <protection locked="0"/>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49" fontId="7" fillId="0" borderId="28" xfId="0" applyNumberFormat="1" applyFont="1" applyFill="1" applyBorder="1" applyAlignment="1" applyProtection="1">
      <alignment horizontal="center" vertical="center"/>
    </xf>
    <xf numFmtId="49" fontId="7" fillId="0" borderId="37" xfId="0" applyNumberFormat="1" applyFont="1" applyFill="1" applyBorder="1" applyAlignment="1" applyProtection="1">
      <alignment horizontal="center" vertical="center" wrapText="1"/>
    </xf>
    <xf numFmtId="49" fontId="7" fillId="0" borderId="38" xfId="0" applyNumberFormat="1" applyFont="1" applyBorder="1" applyAlignment="1" applyProtection="1">
      <alignment horizontal="center" vertical="center"/>
    </xf>
    <xf numFmtId="49" fontId="7" fillId="0" borderId="28" xfId="0" applyNumberFormat="1" applyFont="1" applyBorder="1" applyAlignment="1" applyProtection="1">
      <alignment horizontal="center" vertical="center"/>
    </xf>
    <xf numFmtId="0" fontId="14" fillId="0" borderId="39" xfId="0" applyFont="1" applyBorder="1" applyAlignment="1" applyProtection="1">
      <alignment vertical="center"/>
    </xf>
    <xf numFmtId="49" fontId="7" fillId="0" borderId="35" xfId="0" applyNumberFormat="1" applyFont="1" applyBorder="1" applyAlignment="1" applyProtection="1">
      <alignment vertical="center"/>
    </xf>
    <xf numFmtId="1" fontId="55" fillId="0" borderId="13" xfId="0" applyNumberFormat="1" applyFont="1" applyBorder="1" applyAlignment="1">
      <alignment horizontal="left" vertical="center"/>
    </xf>
    <xf numFmtId="1" fontId="55" fillId="0" borderId="0" xfId="0" applyNumberFormat="1" applyFont="1" applyBorder="1" applyAlignment="1">
      <alignment horizontal="left" vertical="center"/>
    </xf>
    <xf numFmtId="0" fontId="68" fillId="0" borderId="19" xfId="0" applyNumberFormat="1" applyFont="1" applyFill="1" applyBorder="1" applyAlignment="1" applyProtection="1">
      <alignment horizontal="center" vertical="center"/>
    </xf>
    <xf numFmtId="178" fontId="0" fillId="0" borderId="0" xfId="0" applyNumberFormat="1"/>
    <xf numFmtId="0" fontId="15" fillId="0" borderId="17" xfId="0" applyFont="1" applyBorder="1" applyAlignment="1">
      <alignment horizontal="left" vertical="center"/>
    </xf>
    <xf numFmtId="0" fontId="15" fillId="0" borderId="18" xfId="0" applyFont="1" applyBorder="1" applyAlignment="1">
      <alignment horizontal="left" vertical="center"/>
    </xf>
    <xf numFmtId="49" fontId="33" fillId="0" borderId="6" xfId="0" applyNumberFormat="1" applyFont="1" applyBorder="1" applyAlignment="1">
      <alignment vertical="center"/>
    </xf>
    <xf numFmtId="0" fontId="14" fillId="0" borderId="32" xfId="0" applyFont="1" applyBorder="1" applyAlignment="1">
      <alignment vertical="center"/>
    </xf>
    <xf numFmtId="0" fontId="14" fillId="0" borderId="40" xfId="0" applyFont="1" applyBorder="1" applyAlignment="1">
      <alignment vertical="center"/>
    </xf>
    <xf numFmtId="0" fontId="14" fillId="0" borderId="38" xfId="0" applyFont="1" applyBorder="1" applyAlignment="1">
      <alignment vertical="center" wrapText="1"/>
    </xf>
    <xf numFmtId="0" fontId="14" fillId="0" borderId="19" xfId="0" applyFont="1" applyBorder="1" applyAlignment="1">
      <alignment vertical="center" wrapText="1"/>
    </xf>
    <xf numFmtId="0" fontId="14" fillId="0" borderId="21" xfId="0" applyFont="1" applyBorder="1" applyAlignment="1">
      <alignment vertical="center"/>
    </xf>
    <xf numFmtId="0" fontId="7" fillId="0" borderId="2" xfId="0" applyFont="1" applyBorder="1" applyAlignment="1">
      <alignment horizontal="right" vertical="center"/>
    </xf>
    <xf numFmtId="0" fontId="14" fillId="0" borderId="0" xfId="0" applyFont="1" applyBorder="1" applyAlignment="1">
      <alignment horizontal="right" vertical="center"/>
    </xf>
    <xf numFmtId="0" fontId="14" fillId="0" borderId="41" xfId="0" applyFont="1" applyBorder="1" applyAlignment="1">
      <alignment horizontal="right" vertical="center"/>
    </xf>
    <xf numFmtId="0" fontId="14" fillId="0" borderId="41" xfId="0" applyFont="1" applyBorder="1" applyAlignment="1">
      <alignment vertical="center"/>
    </xf>
    <xf numFmtId="178" fontId="14" fillId="0" borderId="42" xfId="0" applyNumberFormat="1" applyFont="1" applyBorder="1" applyAlignment="1">
      <alignment vertical="center" wrapText="1"/>
    </xf>
    <xf numFmtId="0" fontId="7" fillId="0" borderId="0" xfId="0" applyFont="1" applyBorder="1" applyAlignment="1">
      <alignment horizontal="right" vertical="center"/>
    </xf>
    <xf numFmtId="0" fontId="17" fillId="0" borderId="31" xfId="0" applyFont="1" applyBorder="1" applyAlignment="1">
      <alignment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17" fillId="0" borderId="9" xfId="0" applyFont="1" applyBorder="1" applyAlignment="1">
      <alignment horizontal="right" vertical="center"/>
    </xf>
    <xf numFmtId="0" fontId="17" fillId="0" borderId="43" xfId="0" applyFont="1" applyBorder="1" applyAlignment="1">
      <alignment horizontal="right" vertical="center"/>
    </xf>
    <xf numFmtId="0" fontId="7" fillId="0" borderId="7" xfId="0" applyFont="1" applyBorder="1" applyAlignment="1">
      <alignment horizontal="right" vertical="center"/>
    </xf>
    <xf numFmtId="0" fontId="7" fillId="0" borderId="44" xfId="0" applyFont="1" applyBorder="1" applyAlignment="1">
      <alignment horizontal="right" vertical="center"/>
    </xf>
    <xf numFmtId="0" fontId="14" fillId="0" borderId="11" xfId="0" applyFont="1" applyBorder="1" applyAlignment="1">
      <alignment horizontal="center" vertical="center"/>
    </xf>
    <xf numFmtId="0" fontId="14" fillId="0" borderId="2" xfId="0" applyFont="1" applyBorder="1" applyAlignment="1">
      <alignment horizontal="right" vertical="center"/>
    </xf>
    <xf numFmtId="0" fontId="14" fillId="0" borderId="45" xfId="0" applyFont="1" applyBorder="1" applyAlignment="1">
      <alignment vertical="center"/>
    </xf>
    <xf numFmtId="0" fontId="19" fillId="3" borderId="41" xfId="0" applyFont="1" applyFill="1" applyBorder="1" applyAlignment="1" applyProtection="1">
      <alignment vertical="center"/>
      <protection locked="0"/>
    </xf>
    <xf numFmtId="0" fontId="19" fillId="3" borderId="46" xfId="0" applyFont="1" applyFill="1" applyBorder="1" applyAlignment="1" applyProtection="1">
      <alignment vertical="center"/>
      <protection locked="0"/>
    </xf>
    <xf numFmtId="0" fontId="19" fillId="3" borderId="27" xfId="0" applyFont="1" applyFill="1" applyBorder="1" applyAlignment="1" applyProtection="1">
      <alignment vertical="center"/>
      <protection locked="0"/>
    </xf>
    <xf numFmtId="0" fontId="19" fillId="3" borderId="24" xfId="0" applyFont="1" applyFill="1" applyBorder="1" applyAlignment="1" applyProtection="1">
      <alignment vertical="center"/>
      <protection locked="0"/>
    </xf>
    <xf numFmtId="0" fontId="17" fillId="0" borderId="20" xfId="0" applyFont="1" applyBorder="1" applyAlignment="1">
      <alignment horizontal="left" vertical="center"/>
    </xf>
    <xf numFmtId="0" fontId="14" fillId="0" borderId="21" xfId="0" applyFont="1" applyBorder="1" applyAlignment="1">
      <alignment horizontal="left" vertical="center"/>
    </xf>
    <xf numFmtId="14" fontId="19" fillId="3" borderId="22" xfId="0" applyNumberFormat="1" applyFont="1" applyFill="1" applyBorder="1" applyAlignment="1" applyProtection="1">
      <alignment vertical="center"/>
      <protection locked="0"/>
    </xf>
    <xf numFmtId="0" fontId="19" fillId="3" borderId="25" xfId="0" applyFont="1" applyFill="1" applyBorder="1" applyAlignment="1" applyProtection="1">
      <alignment vertical="center"/>
      <protection locked="0"/>
    </xf>
    <xf numFmtId="0" fontId="19" fillId="3" borderId="26" xfId="0" applyFont="1" applyFill="1" applyBorder="1" applyAlignment="1" applyProtection="1">
      <alignment vertical="center"/>
      <protection locked="0"/>
    </xf>
    <xf numFmtId="178" fontId="19" fillId="3" borderId="27" xfId="0" applyNumberFormat="1" applyFont="1" applyFill="1" applyBorder="1" applyAlignment="1" applyProtection="1">
      <alignment vertical="center"/>
      <protection locked="0"/>
    </xf>
    <xf numFmtId="49" fontId="55" fillId="0" borderId="0" xfId="0" applyNumberFormat="1" applyFont="1" applyBorder="1" applyAlignment="1">
      <alignment horizontal="left" vertical="center"/>
    </xf>
    <xf numFmtId="0" fontId="67" fillId="0" borderId="2" xfId="0" applyFont="1" applyBorder="1" applyAlignment="1" applyProtection="1">
      <alignment horizontal="left" vertical="center"/>
    </xf>
    <xf numFmtId="1" fontId="14" fillId="0" borderId="6" xfId="0" applyNumberFormat="1" applyFont="1" applyBorder="1" applyAlignment="1">
      <alignment horizontal="left" vertical="center"/>
    </xf>
    <xf numFmtId="0" fontId="19" fillId="3" borderId="47" xfId="0" applyFont="1" applyFill="1" applyBorder="1" applyAlignment="1" applyProtection="1">
      <alignment vertical="center"/>
      <protection locked="0"/>
    </xf>
    <xf numFmtId="0" fontId="19" fillId="3" borderId="33" xfId="0"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7" fillId="0" borderId="33" xfId="0" applyFont="1" applyBorder="1" applyAlignment="1">
      <alignment horizontal="right" vertical="center"/>
    </xf>
    <xf numFmtId="0" fontId="5" fillId="3" borderId="33" xfId="0" applyFont="1" applyFill="1" applyBorder="1" applyAlignment="1" applyProtection="1">
      <alignment vertical="center"/>
    </xf>
    <xf numFmtId="0" fontId="5" fillId="3" borderId="46" xfId="0" applyFont="1" applyFill="1" applyBorder="1" applyAlignment="1" applyProtection="1">
      <alignment vertical="center"/>
    </xf>
    <xf numFmtId="0" fontId="22" fillId="0" borderId="8" xfId="0" applyFont="1" applyBorder="1" applyAlignment="1">
      <alignment horizontal="left" vertical="center"/>
    </xf>
    <xf numFmtId="1" fontId="33" fillId="0" borderId="6" xfId="0" applyNumberFormat="1" applyFont="1" applyBorder="1" applyAlignment="1">
      <alignment horizontal="left" vertical="center"/>
    </xf>
    <xf numFmtId="49" fontId="33" fillId="0" borderId="0" xfId="0" applyNumberFormat="1" applyFont="1" applyBorder="1" applyAlignment="1">
      <alignment horizontal="left" vertical="center"/>
    </xf>
    <xf numFmtId="1" fontId="33" fillId="0" borderId="13" xfId="0" applyNumberFormat="1" applyFont="1" applyBorder="1" applyAlignment="1">
      <alignment horizontal="left" vertical="center"/>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9" fillId="0" borderId="0" xfId="0" applyFont="1" applyBorder="1" applyAlignment="1" applyProtection="1">
      <alignment vertical="center"/>
      <protection locked="0"/>
    </xf>
    <xf numFmtId="14" fontId="19" fillId="3" borderId="48" xfId="0" applyNumberFormat="1" applyFont="1" applyFill="1" applyBorder="1" applyAlignment="1" applyProtection="1">
      <alignment vertical="center"/>
      <protection locked="0"/>
    </xf>
    <xf numFmtId="0" fontId="19" fillId="3" borderId="49" xfId="0" applyFont="1" applyFill="1" applyBorder="1" applyAlignment="1" applyProtection="1">
      <alignment vertical="center"/>
      <protection locked="0"/>
    </xf>
    <xf numFmtId="0" fontId="19" fillId="3" borderId="50" xfId="0" applyFont="1" applyFill="1" applyBorder="1" applyAlignment="1" applyProtection="1">
      <alignment vertical="center"/>
      <protection locked="0"/>
    </xf>
    <xf numFmtId="0" fontId="19" fillId="3" borderId="51"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13" xfId="0" applyFont="1" applyBorder="1" applyAlignment="1">
      <alignment vertical="center"/>
    </xf>
    <xf numFmtId="0" fontId="43" fillId="0" borderId="0" xfId="0" applyFont="1" applyBorder="1" applyAlignment="1">
      <alignment vertical="center"/>
    </xf>
    <xf numFmtId="0" fontId="17" fillId="0" borderId="34" xfId="0" applyFont="1" applyBorder="1" applyAlignment="1">
      <alignment horizontal="left" vertical="center"/>
    </xf>
    <xf numFmtId="0" fontId="19" fillId="3" borderId="52" xfId="0" applyFont="1" applyFill="1" applyBorder="1" applyProtection="1">
      <protection locked="0"/>
    </xf>
    <xf numFmtId="0" fontId="19" fillId="3" borderId="24" xfId="0" applyFont="1" applyFill="1" applyBorder="1" applyProtection="1">
      <protection locked="0"/>
    </xf>
    <xf numFmtId="14" fontId="19" fillId="3" borderId="24" xfId="0" applyNumberFormat="1" applyFont="1" applyFill="1" applyBorder="1" applyProtection="1">
      <protection locked="0"/>
    </xf>
    <xf numFmtId="15" fontId="19" fillId="3" borderId="24" xfId="0" applyNumberFormat="1" applyFont="1" applyFill="1" applyBorder="1" applyProtection="1">
      <protection locked="0"/>
    </xf>
    <xf numFmtId="178" fontId="19" fillId="3" borderId="24" xfId="0" applyNumberFormat="1" applyFont="1" applyFill="1" applyBorder="1" applyProtection="1">
      <protection locked="0"/>
    </xf>
    <xf numFmtId="0" fontId="20" fillId="3" borderId="23" xfId="0" applyFont="1" applyFill="1" applyBorder="1" applyProtection="1">
      <protection locked="0"/>
    </xf>
    <xf numFmtId="0" fontId="20" fillId="3" borderId="24" xfId="0" applyFont="1" applyFill="1" applyBorder="1" applyProtection="1">
      <protection locked="0"/>
    </xf>
    <xf numFmtId="0" fontId="19" fillId="3" borderId="47" xfId="0" applyFont="1" applyFill="1" applyBorder="1" applyProtection="1">
      <protection locked="0"/>
    </xf>
    <xf numFmtId="0" fontId="19" fillId="3" borderId="33" xfId="0" applyFont="1" applyFill="1" applyBorder="1" applyProtection="1">
      <protection locked="0"/>
    </xf>
    <xf numFmtId="0" fontId="19" fillId="3" borderId="53" xfId="0" applyFont="1" applyFill="1" applyBorder="1" applyProtection="1">
      <protection locked="0"/>
    </xf>
    <xf numFmtId="0" fontId="19" fillId="3" borderId="54" xfId="0" applyFont="1" applyFill="1" applyBorder="1" applyProtection="1">
      <protection locked="0"/>
    </xf>
    <xf numFmtId="0" fontId="57" fillId="4" borderId="55" xfId="0" applyFont="1" applyFill="1" applyBorder="1" applyAlignment="1" applyProtection="1">
      <alignment horizontal="center" vertical="center"/>
    </xf>
    <xf numFmtId="0" fontId="4" fillId="5" borderId="56" xfId="0" applyFont="1" applyFill="1" applyBorder="1" applyAlignment="1" applyProtection="1">
      <alignment vertical="center"/>
    </xf>
    <xf numFmtId="0" fontId="4" fillId="5" borderId="57" xfId="0" applyFont="1" applyFill="1" applyBorder="1" applyAlignment="1" applyProtection="1">
      <alignment vertical="center"/>
    </xf>
    <xf numFmtId="178" fontId="57" fillId="4" borderId="55" xfId="0" applyNumberFormat="1" applyFont="1" applyFill="1" applyBorder="1" applyAlignment="1" applyProtection="1">
      <alignment horizontal="center" vertical="center"/>
    </xf>
    <xf numFmtId="0" fontId="4" fillId="0" borderId="12" xfId="0" applyFont="1" applyBorder="1" applyAlignment="1" applyProtection="1">
      <alignment vertical="center"/>
    </xf>
    <xf numFmtId="0" fontId="14" fillId="0" borderId="12" xfId="0" applyFont="1" applyBorder="1" applyAlignment="1">
      <alignment vertical="center"/>
    </xf>
    <xf numFmtId="0" fontId="4" fillId="0" borderId="12" xfId="0" applyFont="1" applyFill="1" applyBorder="1" applyAlignment="1" applyProtection="1">
      <alignment horizontal="center" vertical="center"/>
    </xf>
    <xf numFmtId="9" fontId="4" fillId="0" borderId="12" xfId="15" applyFont="1" applyFill="1" applyBorder="1" applyAlignment="1" applyProtection="1">
      <alignment vertical="center"/>
    </xf>
    <xf numFmtId="178" fontId="4" fillId="0" borderId="12" xfId="0" applyNumberFormat="1" applyFont="1" applyFill="1" applyBorder="1" applyAlignment="1" applyProtection="1">
      <alignment horizontal="left" vertical="center"/>
    </xf>
    <xf numFmtId="178" fontId="4" fillId="0" borderId="12" xfId="0" applyNumberFormat="1" applyFont="1" applyFill="1" applyBorder="1" applyAlignment="1" applyProtection="1">
      <alignment horizontal="center" vertical="center"/>
    </xf>
    <xf numFmtId="178" fontId="4" fillId="0" borderId="12" xfId="0" applyNumberFormat="1" applyFont="1" applyBorder="1" applyAlignment="1" applyProtection="1">
      <alignment vertical="center"/>
    </xf>
    <xf numFmtId="0" fontId="5" fillId="0" borderId="12" xfId="0" applyFont="1" applyFill="1" applyBorder="1" applyAlignment="1" applyProtection="1">
      <alignment vertical="center"/>
    </xf>
    <xf numFmtId="0" fontId="40" fillId="0" borderId="58" xfId="0" applyFont="1" applyFill="1" applyBorder="1" applyAlignment="1" applyProtection="1">
      <alignment horizontal="left" vertical="center"/>
    </xf>
    <xf numFmtId="0" fontId="40" fillId="0" borderId="5" xfId="0" applyFont="1" applyFill="1" applyBorder="1" applyAlignment="1" applyProtection="1">
      <alignment horizontal="left" vertical="center"/>
    </xf>
    <xf numFmtId="0" fontId="7" fillId="0" borderId="1" xfId="0" applyFont="1" applyBorder="1" applyAlignment="1" applyProtection="1">
      <alignment horizontal="left" vertical="center"/>
    </xf>
    <xf numFmtId="173" fontId="5" fillId="0" borderId="1" xfId="0" applyNumberFormat="1" applyFont="1" applyFill="1" applyBorder="1" applyAlignment="1" applyProtection="1">
      <alignment vertical="center"/>
    </xf>
    <xf numFmtId="0" fontId="6"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4" fillId="0" borderId="1" xfId="0" applyFont="1" applyBorder="1" applyAlignment="1" applyProtection="1">
      <alignment vertical="center"/>
    </xf>
    <xf numFmtId="0" fontId="5" fillId="0" borderId="13" xfId="0" applyFont="1" applyFill="1" applyBorder="1" applyAlignment="1" applyProtection="1">
      <alignment vertical="center"/>
    </xf>
    <xf numFmtId="172" fontId="5" fillId="0" borderId="0" xfId="0" applyNumberFormat="1" applyFont="1" applyFill="1" applyBorder="1" applyAlignment="1" applyProtection="1">
      <alignment horizontal="left" vertical="center"/>
    </xf>
    <xf numFmtId="0" fontId="22" fillId="0" borderId="58" xfId="0" applyFont="1" applyFill="1" applyBorder="1" applyAlignment="1" applyProtection="1">
      <alignment vertical="center"/>
    </xf>
    <xf numFmtId="180" fontId="7" fillId="6" borderId="5" xfId="0" applyNumberFormat="1" applyFont="1" applyFill="1" applyBorder="1" applyAlignment="1" applyProtection="1">
      <alignment horizontal="right" vertical="center"/>
    </xf>
    <xf numFmtId="178" fontId="7" fillId="6" borderId="5" xfId="0" applyNumberFormat="1" applyFont="1" applyFill="1" applyBorder="1" applyAlignment="1" applyProtection="1">
      <alignment horizontal="right" vertical="center"/>
    </xf>
    <xf numFmtId="180" fontId="4" fillId="6" borderId="5" xfId="0" applyNumberFormat="1" applyFont="1" applyFill="1" applyBorder="1" applyAlignment="1" applyProtection="1">
      <alignment vertical="center"/>
    </xf>
    <xf numFmtId="180" fontId="4" fillId="6" borderId="59" xfId="0" applyNumberFormat="1" applyFont="1" applyFill="1" applyBorder="1" applyAlignment="1" applyProtection="1">
      <alignment vertical="center"/>
    </xf>
    <xf numFmtId="0" fontId="0" fillId="0" borderId="6" xfId="0" applyBorder="1"/>
    <xf numFmtId="178" fontId="14" fillId="0" borderId="14" xfId="0" applyNumberFormat="1" applyFont="1" applyBorder="1" applyAlignment="1">
      <alignment vertical="center"/>
    </xf>
    <xf numFmtId="14" fontId="19" fillId="3" borderId="22" xfId="0" applyNumberFormat="1" applyFont="1" applyFill="1" applyBorder="1" applyProtection="1">
      <protection locked="0"/>
    </xf>
    <xf numFmtId="0" fontId="14" fillId="0" borderId="60" xfId="0" applyFont="1" applyBorder="1" applyAlignment="1">
      <alignment horizontal="right" vertical="center"/>
    </xf>
    <xf numFmtId="1" fontId="14" fillId="0" borderId="60" xfId="0" applyNumberFormat="1" applyFont="1" applyBorder="1" applyAlignment="1">
      <alignment horizontal="left" vertical="center"/>
    </xf>
    <xf numFmtId="0" fontId="14" fillId="0" borderId="60" xfId="0" applyFont="1" applyBorder="1" applyAlignment="1">
      <alignment vertical="center"/>
    </xf>
    <xf numFmtId="0" fontId="19" fillId="3" borderId="61" xfId="0" applyFont="1" applyFill="1" applyBorder="1" applyAlignment="1" applyProtection="1">
      <alignment vertical="center"/>
      <protection locked="0"/>
    </xf>
    <xf numFmtId="0" fontId="19" fillId="3" borderId="62" xfId="0" applyFont="1" applyFill="1" applyBorder="1" applyAlignment="1" applyProtection="1">
      <alignment vertical="center"/>
      <protection locked="0"/>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19" fillId="3" borderId="63" xfId="0" applyFont="1" applyFill="1" applyBorder="1" applyAlignment="1" applyProtection="1">
      <alignment vertical="center"/>
      <protection locked="0"/>
    </xf>
    <xf numFmtId="0" fontId="17" fillId="3" borderId="25" xfId="0" applyFont="1" applyFill="1" applyBorder="1" applyAlignment="1">
      <alignment horizontal="left" vertical="center"/>
    </xf>
    <xf numFmtId="0" fontId="19" fillId="3" borderId="64" xfId="0" applyFont="1" applyFill="1" applyBorder="1" applyAlignment="1" applyProtection="1">
      <alignment vertical="center"/>
      <protection locked="0"/>
    </xf>
    <xf numFmtId="0" fontId="17" fillId="0" borderId="16" xfId="0" applyFont="1" applyBorder="1" applyAlignment="1">
      <alignment vertical="center"/>
    </xf>
    <xf numFmtId="0" fontId="19" fillId="3" borderId="65" xfId="0" applyFont="1" applyFill="1" applyBorder="1" applyAlignment="1" applyProtection="1">
      <alignment vertical="center"/>
      <protection locked="0"/>
    </xf>
    <xf numFmtId="0" fontId="43" fillId="0" borderId="11" xfId="0" applyFont="1" applyBorder="1" applyAlignment="1">
      <alignment horizontal="right" vertical="center"/>
    </xf>
    <xf numFmtId="0" fontId="16" fillId="0" borderId="60" xfId="0" applyFont="1" applyBorder="1" applyAlignment="1">
      <alignment vertical="center"/>
    </xf>
    <xf numFmtId="0" fontId="16" fillId="0" borderId="17" xfId="0" applyFont="1" applyBorder="1" applyAlignment="1">
      <alignment vertical="center"/>
    </xf>
    <xf numFmtId="178" fontId="16" fillId="0" borderId="18" xfId="0" applyNumberFormat="1" applyFont="1" applyBorder="1" applyAlignment="1">
      <alignment vertical="center"/>
    </xf>
    <xf numFmtId="14" fontId="20" fillId="3" borderId="22" xfId="0" applyNumberFormat="1" applyFont="1" applyFill="1" applyBorder="1" applyProtection="1">
      <protection locked="0"/>
    </xf>
    <xf numFmtId="0" fontId="17" fillId="0" borderId="7" xfId="0" applyFont="1" applyBorder="1" applyAlignment="1">
      <alignment horizontal="right" vertical="center"/>
    </xf>
    <xf numFmtId="0" fontId="17" fillId="0" borderId="60" xfId="0" applyFont="1" applyBorder="1" applyAlignment="1">
      <alignment horizontal="right" vertical="center"/>
    </xf>
    <xf numFmtId="14" fontId="19" fillId="3" borderId="66" xfId="0" applyNumberFormat="1" applyFont="1" applyFill="1" applyBorder="1" applyProtection="1">
      <protection locked="0"/>
    </xf>
    <xf numFmtId="0" fontId="19" fillId="3" borderId="66" xfId="0" applyFont="1" applyFill="1" applyBorder="1" applyAlignment="1" applyProtection="1">
      <alignment vertical="center"/>
      <protection locked="0"/>
    </xf>
    <xf numFmtId="0" fontId="19" fillId="3" borderId="52" xfId="0" applyFont="1" applyFill="1" applyBorder="1" applyAlignment="1" applyProtection="1">
      <alignment vertical="center"/>
      <protection locked="0"/>
    </xf>
    <xf numFmtId="0" fontId="19" fillId="3" borderId="53" xfId="0" applyFont="1" applyFill="1" applyBorder="1" applyAlignment="1" applyProtection="1">
      <alignment vertical="center"/>
      <protection locked="0"/>
    </xf>
    <xf numFmtId="0" fontId="19" fillId="3" borderId="54" xfId="0" applyFont="1" applyFill="1" applyBorder="1" applyAlignment="1" applyProtection="1">
      <alignment vertical="center"/>
      <protection locked="0"/>
    </xf>
    <xf numFmtId="178" fontId="19" fillId="3" borderId="52" xfId="0" applyNumberFormat="1"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5" fillId="3" borderId="54" xfId="0" applyFont="1" applyFill="1" applyBorder="1" applyAlignment="1" applyProtection="1">
      <alignment vertical="center"/>
    </xf>
    <xf numFmtId="0" fontId="19" fillId="0" borderId="32" xfId="0" applyFont="1" applyBorder="1" applyAlignment="1" applyProtection="1">
      <alignment vertical="center"/>
      <protection locked="0"/>
    </xf>
    <xf numFmtId="0" fontId="7" fillId="0" borderId="67" xfId="0" applyFont="1" applyBorder="1" applyAlignment="1">
      <alignment vertical="center"/>
    </xf>
    <xf numFmtId="178" fontId="14" fillId="0" borderId="68" xfId="0" applyNumberFormat="1" applyFont="1" applyBorder="1" applyAlignment="1">
      <alignment vertical="center"/>
    </xf>
    <xf numFmtId="0" fontId="65" fillId="0" borderId="9" xfId="0" applyFont="1" applyBorder="1" applyAlignment="1">
      <alignment horizontal="left" vertical="center"/>
    </xf>
    <xf numFmtId="0" fontId="7" fillId="0" borderId="69" xfId="0" applyFont="1" applyBorder="1" applyAlignment="1" applyProtection="1">
      <alignment horizontal="center" vertical="center" wrapText="1"/>
    </xf>
    <xf numFmtId="49" fontId="7" fillId="0" borderId="69" xfId="0" applyNumberFormat="1" applyFont="1" applyBorder="1" applyAlignment="1" applyProtection="1">
      <alignment vertical="center"/>
    </xf>
    <xf numFmtId="49" fontId="7" fillId="0" borderId="70" xfId="0" applyNumberFormat="1" applyFont="1" applyFill="1" applyBorder="1" applyAlignment="1" applyProtection="1">
      <alignment horizontal="center" vertical="center" wrapText="1"/>
    </xf>
    <xf numFmtId="15" fontId="7" fillId="7" borderId="54" xfId="0" applyNumberFormat="1" applyFont="1" applyFill="1" applyBorder="1" applyAlignment="1" applyProtection="1">
      <alignment horizontal="center" vertical="center"/>
    </xf>
    <xf numFmtId="15" fontId="7" fillId="7" borderId="33" xfId="0" applyNumberFormat="1" applyFont="1" applyFill="1" applyBorder="1" applyAlignment="1" applyProtection="1">
      <alignment horizontal="center" vertical="center"/>
    </xf>
    <xf numFmtId="185" fontId="19" fillId="0" borderId="24" xfId="0" applyNumberFormat="1" applyFont="1" applyFill="1" applyBorder="1" applyProtection="1"/>
    <xf numFmtId="185" fontId="19" fillId="0" borderId="27" xfId="0" applyNumberFormat="1" applyFont="1" applyFill="1" applyBorder="1" applyProtection="1"/>
    <xf numFmtId="185" fontId="19" fillId="0" borderId="52" xfId="0" applyNumberFormat="1" applyFont="1" applyFill="1" applyBorder="1" applyProtection="1"/>
    <xf numFmtId="185" fontId="19" fillId="3" borderId="24" xfId="0" applyNumberFormat="1" applyFont="1" applyFill="1" applyBorder="1" applyProtection="1">
      <protection locked="0"/>
    </xf>
    <xf numFmtId="185" fontId="19" fillId="3" borderId="27" xfId="0" applyNumberFormat="1" applyFont="1" applyFill="1" applyBorder="1" applyAlignment="1" applyProtection="1">
      <alignment vertical="center"/>
      <protection locked="0"/>
    </xf>
    <xf numFmtId="185" fontId="19" fillId="3" borderId="62" xfId="0" applyNumberFormat="1" applyFont="1" applyFill="1" applyBorder="1" applyAlignment="1" applyProtection="1">
      <alignment vertical="center"/>
      <protection locked="0"/>
    </xf>
    <xf numFmtId="185" fontId="19" fillId="3" borderId="52" xfId="0" applyNumberFormat="1" applyFont="1" applyFill="1" applyBorder="1" applyProtection="1">
      <protection locked="0"/>
    </xf>
    <xf numFmtId="0" fontId="5" fillId="0" borderId="60"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vertical="center"/>
    </xf>
    <xf numFmtId="0" fontId="70" fillId="0" borderId="60" xfId="0" applyFont="1" applyFill="1" applyBorder="1" applyAlignment="1" applyProtection="1">
      <alignment vertical="center"/>
    </xf>
    <xf numFmtId="0" fontId="48" fillId="0" borderId="60" xfId="0" applyFont="1" applyFill="1" applyBorder="1" applyAlignment="1" applyProtection="1">
      <alignment vertical="center"/>
    </xf>
    <xf numFmtId="0" fontId="71" fillId="0" borderId="60" xfId="0" applyFont="1" applyFill="1" applyBorder="1" applyAlignment="1" applyProtection="1">
      <alignment vertical="center"/>
    </xf>
    <xf numFmtId="0" fontId="72" fillId="0" borderId="0" xfId="0" applyFont="1" applyFill="1" applyBorder="1" applyAlignment="1" applyProtection="1">
      <alignment vertical="center"/>
    </xf>
    <xf numFmtId="3" fontId="27" fillId="0" borderId="0" xfId="14" applyNumberFormat="1" applyFont="1" applyFill="1" applyBorder="1" applyProtection="1"/>
    <xf numFmtId="0" fontId="0" fillId="0" borderId="0" xfId="0" applyFill="1"/>
    <xf numFmtId="0" fontId="27" fillId="0" borderId="0" xfId="0" applyFont="1" applyFill="1"/>
    <xf numFmtId="49" fontId="17" fillId="3" borderId="29" xfId="0" applyNumberFormat="1" applyFont="1" applyFill="1" applyBorder="1" applyAlignment="1" applyProtection="1">
      <alignment vertical="center"/>
      <protection locked="0"/>
    </xf>
    <xf numFmtId="0" fontId="77" fillId="0" borderId="46" xfId="0" applyFont="1" applyBorder="1" applyAlignment="1" applyProtection="1">
      <alignment horizontal="left" vertical="center"/>
    </xf>
    <xf numFmtId="1" fontId="25" fillId="0" borderId="30" xfId="0" applyNumberFormat="1"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17" fillId="0" borderId="7" xfId="0" applyFont="1" applyBorder="1" applyAlignment="1" applyProtection="1">
      <alignment horizontal="left" vertical="center"/>
    </xf>
    <xf numFmtId="0" fontId="17" fillId="0" borderId="6" xfId="0" applyFont="1" applyBorder="1" applyAlignment="1" applyProtection="1">
      <alignment horizontal="right" vertical="center"/>
    </xf>
    <xf numFmtId="0" fontId="17" fillId="0" borderId="2" xfId="0" applyFont="1" applyBorder="1" applyAlignment="1" applyProtection="1">
      <alignment horizontal="left" vertical="center"/>
    </xf>
    <xf numFmtId="0" fontId="17" fillId="0" borderId="0" xfId="0" applyFont="1" applyBorder="1" applyAlignment="1" applyProtection="1">
      <alignment horizontal="right" vertical="center"/>
    </xf>
    <xf numFmtId="49" fontId="17" fillId="0" borderId="0" xfId="0" applyNumberFormat="1" applyFont="1" applyBorder="1" applyAlignment="1" applyProtection="1">
      <alignment horizontal="right" vertical="center"/>
    </xf>
    <xf numFmtId="0" fontId="46" fillId="0" borderId="6" xfId="13" applyFont="1" applyFill="1" applyBorder="1" applyAlignment="1" applyProtection="1">
      <alignment horizontal="left" vertical="center"/>
    </xf>
    <xf numFmtId="0" fontId="17" fillId="0" borderId="6" xfId="0" applyFont="1" applyBorder="1" applyAlignment="1" applyProtection="1">
      <alignment vertical="center"/>
    </xf>
    <xf numFmtId="0" fontId="17" fillId="0" borderId="2" xfId="0" applyFont="1" applyFill="1" applyBorder="1" applyAlignment="1" applyProtection="1">
      <alignment horizontal="left" vertical="center"/>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horizontal="center" vertical="center" wrapText="1"/>
    </xf>
    <xf numFmtId="0" fontId="16" fillId="0" borderId="0" xfId="0" applyNumberFormat="1" applyFont="1" applyAlignment="1">
      <alignment vertical="center" wrapText="1"/>
    </xf>
    <xf numFmtId="0" fontId="16" fillId="0" borderId="0" xfId="0" applyNumberFormat="1" applyFont="1" applyBorder="1" applyAlignment="1">
      <alignment vertical="center" wrapText="1"/>
    </xf>
    <xf numFmtId="0" fontId="16" fillId="0" borderId="0" xfId="0" applyFont="1" applyBorder="1" applyAlignment="1">
      <alignment vertical="center" wrapText="1"/>
    </xf>
    <xf numFmtId="0" fontId="17" fillId="0" borderId="0" xfId="0" applyNumberFormat="1" applyFont="1" applyAlignment="1">
      <alignment vertical="center" wrapText="1"/>
    </xf>
    <xf numFmtId="0" fontId="17" fillId="0" borderId="7" xfId="0" applyFont="1" applyBorder="1" applyAlignment="1" applyProtection="1">
      <alignment vertical="center"/>
    </xf>
    <xf numFmtId="0" fontId="36" fillId="0" borderId="0" xfId="0" applyFont="1" applyBorder="1" applyAlignment="1" applyProtection="1">
      <alignment horizontal="right" vertical="center"/>
    </xf>
    <xf numFmtId="0" fontId="17" fillId="0" borderId="2" xfId="0" applyFont="1" applyBorder="1" applyAlignment="1" applyProtection="1">
      <alignment horizontal="right" vertical="center"/>
    </xf>
    <xf numFmtId="0" fontId="26" fillId="0" borderId="2" xfId="0" applyFont="1" applyBorder="1" applyAlignment="1">
      <alignment horizontal="right" vertical="center"/>
    </xf>
    <xf numFmtId="0" fontId="69" fillId="0" borderId="0" xfId="0" applyFont="1" applyAlignment="1">
      <alignment vertical="center" wrapText="1"/>
    </xf>
    <xf numFmtId="0" fontId="56" fillId="0" borderId="11" xfId="0" applyFont="1" applyBorder="1" applyAlignment="1">
      <alignment horizontal="left" vertical="center"/>
    </xf>
    <xf numFmtId="0" fontId="1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4" fillId="0" borderId="0" xfId="0" applyFont="1" applyBorder="1" applyAlignment="1" applyProtection="1">
      <alignment vertical="center" wrapText="1"/>
    </xf>
    <xf numFmtId="49" fontId="16" fillId="0" borderId="0" xfId="0" applyNumberFormat="1" applyFont="1" applyBorder="1" applyAlignment="1" applyProtection="1">
      <alignment vertical="center"/>
    </xf>
    <xf numFmtId="0" fontId="79" fillId="0" borderId="0" xfId="0" applyFont="1" applyBorder="1" applyAlignment="1" applyProtection="1">
      <alignment horizontal="center" vertical="center"/>
    </xf>
    <xf numFmtId="49" fontId="55" fillId="0" borderId="0" xfId="0" applyNumberFormat="1" applyFont="1" applyBorder="1" applyAlignment="1" applyProtection="1">
      <alignment vertical="center"/>
    </xf>
    <xf numFmtId="0" fontId="55" fillId="0" borderId="0" xfId="0" applyFont="1" applyBorder="1" applyAlignment="1" applyProtection="1">
      <alignment vertical="center"/>
    </xf>
    <xf numFmtId="0" fontId="55" fillId="0" borderId="0" xfId="0" applyFont="1" applyBorder="1" applyAlignment="1" applyProtection="1">
      <alignment horizontal="center" vertical="center"/>
    </xf>
    <xf numFmtId="0" fontId="14" fillId="0" borderId="12" xfId="0" applyFont="1" applyBorder="1" applyAlignment="1" applyProtection="1">
      <alignment vertical="center"/>
    </xf>
    <xf numFmtId="0" fontId="14" fillId="0" borderId="0" xfId="0" applyFont="1" applyBorder="1" applyAlignment="1" applyProtection="1">
      <alignment horizontal="left" vertical="center"/>
    </xf>
    <xf numFmtId="0" fontId="14" fillId="0" borderId="2" xfId="0" applyFont="1" applyBorder="1" applyAlignment="1" applyProtection="1">
      <alignment vertical="center"/>
    </xf>
    <xf numFmtId="2" fontId="4" fillId="0" borderId="0" xfId="0" applyNumberFormat="1" applyFont="1" applyBorder="1" applyAlignment="1" applyProtection="1">
      <alignment horizontal="left" vertical="center"/>
    </xf>
    <xf numFmtId="0" fontId="15" fillId="0" borderId="0"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4" xfId="0" applyFont="1" applyBorder="1" applyAlignment="1" applyProtection="1">
      <alignment vertical="center" wrapText="1"/>
    </xf>
    <xf numFmtId="0" fontId="14" fillId="0" borderId="5" xfId="0" applyFont="1" applyBorder="1" applyAlignment="1" applyProtection="1">
      <alignment vertical="center"/>
    </xf>
    <xf numFmtId="0" fontId="14" fillId="0" borderId="11" xfId="0" applyFont="1" applyBorder="1" applyAlignment="1" applyProtection="1">
      <alignment vertical="center"/>
    </xf>
    <xf numFmtId="49" fontId="34" fillId="0" borderId="0" xfId="0" applyNumberFormat="1" applyFont="1" applyBorder="1" applyAlignment="1" applyProtection="1">
      <alignment vertical="center"/>
    </xf>
    <xf numFmtId="0" fontId="34" fillId="0" borderId="11" xfId="0" applyFont="1" applyBorder="1" applyAlignment="1" applyProtection="1">
      <alignment vertical="center"/>
    </xf>
    <xf numFmtId="0" fontId="4" fillId="0" borderId="2" xfId="0" applyFont="1" applyBorder="1" applyAlignment="1" applyProtection="1">
      <alignment vertical="center" wrapText="1"/>
    </xf>
    <xf numFmtId="0" fontId="4" fillId="0" borderId="2" xfId="0" applyFont="1" applyBorder="1" applyAlignment="1" applyProtection="1">
      <alignment vertical="center"/>
    </xf>
    <xf numFmtId="0" fontId="41" fillId="0" borderId="0" xfId="0" applyFont="1" applyBorder="1" applyAlignment="1" applyProtection="1">
      <alignment horizontal="left" vertical="center"/>
    </xf>
    <xf numFmtId="0" fontId="4" fillId="0" borderId="71" xfId="0" applyFont="1" applyBorder="1" applyAlignment="1" applyProtection="1">
      <alignment vertical="center"/>
    </xf>
    <xf numFmtId="0" fontId="4" fillId="0" borderId="60" xfId="0" applyFont="1" applyBorder="1" applyAlignment="1" applyProtection="1">
      <alignment vertical="center"/>
    </xf>
    <xf numFmtId="0" fontId="47" fillId="0" borderId="60" xfId="0" applyFont="1" applyBorder="1" applyAlignment="1" applyProtection="1">
      <alignment horizontal="left" vertical="center"/>
    </xf>
    <xf numFmtId="0" fontId="41" fillId="0" borderId="60" xfId="0" applyFont="1" applyBorder="1" applyAlignment="1" applyProtection="1">
      <alignment horizontal="left" vertical="center"/>
    </xf>
    <xf numFmtId="0" fontId="19" fillId="0" borderId="60" xfId="0" applyFont="1" applyBorder="1" applyAlignment="1" applyProtection="1">
      <alignment vertical="center"/>
    </xf>
    <xf numFmtId="0" fontId="83" fillId="0" borderId="0" xfId="0" applyFont="1"/>
    <xf numFmtId="0" fontId="25" fillId="3" borderId="52" xfId="0" applyFont="1" applyFill="1" applyBorder="1" applyAlignment="1" applyProtection="1">
      <alignment horizontal="center" vertical="center"/>
      <protection locked="0"/>
    </xf>
    <xf numFmtId="0" fontId="36" fillId="0" borderId="11" xfId="0" applyFont="1" applyBorder="1" applyAlignment="1">
      <alignment vertical="center"/>
    </xf>
    <xf numFmtId="0" fontId="6" fillId="0" borderId="5" xfId="0" applyFont="1" applyFill="1" applyBorder="1" applyAlignment="1" applyProtection="1">
      <alignment horizontal="right" vertical="center"/>
    </xf>
    <xf numFmtId="0" fontId="81" fillId="0" borderId="60" xfId="0" applyFont="1" applyFill="1" applyBorder="1" applyAlignment="1" applyProtection="1">
      <alignment horizontal="right" vertical="center"/>
    </xf>
    <xf numFmtId="186" fontId="64" fillId="0" borderId="2" xfId="0" applyNumberFormat="1" applyFont="1" applyBorder="1" applyAlignment="1" applyProtection="1">
      <alignment vertical="center"/>
    </xf>
    <xf numFmtId="0" fontId="40" fillId="0" borderId="71" xfId="0" applyFont="1" applyFill="1" applyBorder="1" applyAlignment="1" applyProtection="1">
      <alignment horizontal="left" vertical="center"/>
    </xf>
    <xf numFmtId="0" fontId="88" fillId="0" borderId="0" xfId="0" applyFont="1"/>
    <xf numFmtId="0" fontId="83" fillId="0" borderId="0" xfId="0" applyFont="1" applyFill="1"/>
    <xf numFmtId="9" fontId="4" fillId="0" borderId="4" xfId="15" applyFont="1" applyFill="1" applyBorder="1" applyAlignment="1" applyProtection="1">
      <alignment vertical="center"/>
    </xf>
    <xf numFmtId="178" fontId="4" fillId="0" borderId="4" xfId="0" applyNumberFormat="1" applyFont="1" applyFill="1" applyBorder="1" applyAlignment="1" applyProtection="1">
      <alignment horizontal="center" vertical="center"/>
    </xf>
    <xf numFmtId="178" fontId="6" fillId="0" borderId="4" xfId="0" applyNumberFormat="1" applyFont="1" applyFill="1" applyBorder="1" applyAlignment="1" applyProtection="1">
      <alignment horizontal="right" vertical="center"/>
    </xf>
    <xf numFmtId="0" fontId="40" fillId="0" borderId="2" xfId="0" applyFont="1" applyFill="1" applyBorder="1" applyAlignment="1" applyProtection="1">
      <alignment vertical="center"/>
    </xf>
    <xf numFmtId="0" fontId="5" fillId="0" borderId="67" xfId="0" applyFont="1" applyFill="1" applyBorder="1" applyAlignment="1" applyProtection="1">
      <alignment vertical="center"/>
    </xf>
    <xf numFmtId="2" fontId="5" fillId="0" borderId="12" xfId="0" applyNumberFormat="1" applyFont="1" applyFill="1" applyBorder="1" applyAlignment="1" applyProtection="1">
      <alignment vertical="center"/>
    </xf>
    <xf numFmtId="0" fontId="36" fillId="0" borderId="2" xfId="0" applyFont="1" applyFill="1" applyBorder="1" applyAlignment="1" applyProtection="1">
      <alignment vertical="center"/>
    </xf>
    <xf numFmtId="0" fontId="14" fillId="0" borderId="60" xfId="0" applyFont="1" applyBorder="1" applyAlignment="1" applyProtection="1">
      <alignment vertical="center"/>
    </xf>
    <xf numFmtId="0" fontId="14" fillId="0" borderId="60" xfId="0" applyFont="1" applyFill="1" applyBorder="1" applyAlignment="1" applyProtection="1">
      <alignment vertical="center"/>
    </xf>
    <xf numFmtId="0" fontId="23" fillId="0" borderId="0" xfId="0" applyFont="1" applyBorder="1" applyAlignment="1">
      <alignment vertical="center"/>
    </xf>
    <xf numFmtId="0" fontId="75" fillId="0" borderId="72" xfId="0" applyFont="1" applyFill="1" applyBorder="1" applyAlignment="1" applyProtection="1">
      <alignment horizontal="center" vertical="center"/>
    </xf>
    <xf numFmtId="0" fontId="25" fillId="3" borderId="30" xfId="0" applyFont="1" applyFill="1" applyBorder="1" applyAlignment="1" applyProtection="1">
      <alignment horizontal="center" vertical="center"/>
      <protection locked="0"/>
    </xf>
    <xf numFmtId="178" fontId="46" fillId="0" borderId="6" xfId="0" applyNumberFormat="1" applyFont="1" applyFill="1" applyBorder="1" applyAlignment="1" applyProtection="1">
      <alignment horizontal="right" vertical="center"/>
    </xf>
    <xf numFmtId="0" fontId="47" fillId="0" borderId="7" xfId="0" applyFont="1" applyBorder="1" applyAlignment="1" applyProtection="1">
      <alignment vertical="center"/>
    </xf>
    <xf numFmtId="0" fontId="21" fillId="0" borderId="6" xfId="0" applyFont="1" applyFill="1" applyBorder="1" applyAlignment="1" applyProtection="1">
      <alignment vertical="center"/>
    </xf>
    <xf numFmtId="178" fontId="46" fillId="0" borderId="6" xfId="0" applyNumberFormat="1" applyFont="1" applyFill="1" applyBorder="1" applyAlignment="1" applyProtection="1">
      <alignment vertical="center"/>
    </xf>
    <xf numFmtId="178" fontId="40" fillId="0" borderId="6" xfId="0" applyNumberFormat="1" applyFont="1" applyFill="1" applyBorder="1" applyAlignment="1" applyProtection="1">
      <alignment vertical="center"/>
    </xf>
    <xf numFmtId="178" fontId="21" fillId="0" borderId="6" xfId="0" applyNumberFormat="1" applyFont="1" applyFill="1" applyBorder="1" applyAlignment="1" applyProtection="1">
      <alignment vertical="center"/>
    </xf>
    <xf numFmtId="0" fontId="14" fillId="0" borderId="7" xfId="0" applyFont="1" applyBorder="1" applyAlignment="1" applyProtection="1">
      <alignment vertical="center"/>
    </xf>
    <xf numFmtId="0" fontId="43" fillId="0" borderId="6" xfId="0" applyFont="1" applyBorder="1" applyAlignment="1" applyProtection="1">
      <alignment vertical="center"/>
    </xf>
    <xf numFmtId="0" fontId="4" fillId="0" borderId="6" xfId="0" applyFont="1" applyFill="1" applyBorder="1" applyAlignment="1" applyProtection="1">
      <alignment horizontal="left" vertical="center"/>
    </xf>
    <xf numFmtId="0" fontId="44" fillId="0" borderId="6"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46" fillId="0" borderId="6" xfId="0" applyFont="1" applyFill="1" applyBorder="1" applyAlignment="1" applyProtection="1">
      <alignment horizontal="right" vertical="center"/>
    </xf>
    <xf numFmtId="0" fontId="14" fillId="0" borderId="2" xfId="0" applyFont="1" applyBorder="1" applyAlignment="1" applyProtection="1">
      <alignment horizontal="left" vertical="center"/>
    </xf>
    <xf numFmtId="0" fontId="60" fillId="0" borderId="12" xfId="0" applyFont="1" applyBorder="1" applyAlignment="1" applyProtection="1">
      <alignment vertical="center" wrapText="1"/>
    </xf>
    <xf numFmtId="0" fontId="27" fillId="0" borderId="0" xfId="0" applyFont="1" applyFill="1" applyBorder="1" applyAlignment="1" applyProtection="1">
      <alignment horizontal="left" vertical="center"/>
    </xf>
    <xf numFmtId="0" fontId="15" fillId="0" borderId="6" xfId="0" applyFont="1" applyBorder="1" applyAlignment="1" applyProtection="1">
      <alignment horizontal="right" vertical="center"/>
    </xf>
    <xf numFmtId="9" fontId="58" fillId="0" borderId="2" xfId="0" applyNumberFormat="1" applyFont="1" applyFill="1" applyBorder="1" applyAlignment="1" applyProtection="1">
      <alignment vertical="center"/>
    </xf>
    <xf numFmtId="0" fontId="59" fillId="0" borderId="0" xfId="0" applyFont="1" applyBorder="1" applyAlignment="1" applyProtection="1">
      <alignment vertical="center"/>
    </xf>
    <xf numFmtId="0" fontId="60" fillId="0" borderId="0" xfId="0" applyFont="1" applyBorder="1" applyAlignment="1" applyProtection="1">
      <alignment vertical="center"/>
    </xf>
    <xf numFmtId="0" fontId="33" fillId="0" borderId="0" xfId="0" applyFont="1" applyBorder="1" applyAlignment="1">
      <alignment horizontal="left" vertical="center"/>
    </xf>
    <xf numFmtId="178" fontId="6" fillId="0" borderId="6" xfId="0" applyNumberFormat="1" applyFont="1" applyFill="1" applyBorder="1" applyAlignment="1" applyProtection="1">
      <alignment horizontal="right" vertical="center"/>
    </xf>
    <xf numFmtId="0" fontId="47" fillId="0" borderId="4" xfId="0" applyFont="1" applyBorder="1" applyAlignment="1" applyProtection="1">
      <alignment horizontal="left" vertical="center"/>
    </xf>
    <xf numFmtId="178" fontId="16" fillId="0" borderId="11" xfId="0" applyNumberFormat="1" applyFont="1" applyFill="1" applyBorder="1" applyAlignment="1" applyProtection="1">
      <alignment vertical="center"/>
    </xf>
    <xf numFmtId="0" fontId="14" fillId="0" borderId="7" xfId="0" applyFont="1" applyBorder="1" applyAlignment="1" applyProtection="1">
      <alignment horizontal="left" vertical="center"/>
    </xf>
    <xf numFmtId="0" fontId="14" fillId="0" borderId="6" xfId="0" applyFont="1" applyBorder="1" applyAlignment="1" applyProtection="1">
      <alignment horizontal="left" vertical="center"/>
    </xf>
    <xf numFmtId="0" fontId="84" fillId="0" borderId="9" xfId="0" applyFont="1" applyBorder="1" applyAlignment="1" applyProtection="1">
      <alignment horizontal="center" vertical="center"/>
      <protection locked="0"/>
    </xf>
    <xf numFmtId="0" fontId="17" fillId="0" borderId="71" xfId="0" applyFont="1" applyBorder="1" applyAlignment="1" applyProtection="1">
      <alignment vertical="center"/>
    </xf>
    <xf numFmtId="49" fontId="55" fillId="0" borderId="73" xfId="0" applyNumberFormat="1" applyFont="1" applyBorder="1" applyAlignment="1" applyProtection="1">
      <alignment vertical="center"/>
    </xf>
    <xf numFmtId="192" fontId="55" fillId="0" borderId="73" xfId="0" applyNumberFormat="1" applyFont="1" applyBorder="1" applyAlignment="1" applyProtection="1">
      <alignment horizontal="left" vertical="center"/>
    </xf>
    <xf numFmtId="0" fontId="17" fillId="0" borderId="2" xfId="0" applyFont="1" applyFill="1" applyBorder="1" applyAlignment="1" applyProtection="1">
      <alignment horizontal="right" vertical="center"/>
    </xf>
    <xf numFmtId="49" fontId="55" fillId="0" borderId="30" xfId="0" applyNumberFormat="1" applyFont="1" applyBorder="1" applyAlignment="1" applyProtection="1">
      <alignment vertical="center"/>
    </xf>
    <xf numFmtId="178" fontId="5" fillId="0" borderId="0" xfId="0" applyNumberFormat="1" applyFont="1" applyFill="1" applyBorder="1" applyAlignment="1" applyProtection="1">
      <alignment horizontal="left" vertical="center"/>
    </xf>
    <xf numFmtId="9" fontId="91" fillId="0" borderId="2" xfId="0" applyNumberFormat="1" applyFont="1" applyFill="1" applyBorder="1" applyAlignment="1" applyProtection="1">
      <alignment vertical="center"/>
    </xf>
    <xf numFmtId="9" fontId="5" fillId="0" borderId="12" xfId="15" applyFont="1" applyFill="1" applyBorder="1" applyAlignment="1" applyProtection="1">
      <alignment vertical="center"/>
    </xf>
    <xf numFmtId="0" fontId="41" fillId="0" borderId="2" xfId="0" applyFont="1" applyFill="1" applyBorder="1" applyAlignment="1" applyProtection="1">
      <alignment vertical="center"/>
    </xf>
    <xf numFmtId="184" fontId="55" fillId="0" borderId="74" xfId="0" applyNumberFormat="1" applyFont="1" applyBorder="1" applyAlignment="1" applyProtection="1">
      <alignment horizontal="left" vertical="center"/>
    </xf>
    <xf numFmtId="49" fontId="55" fillId="0" borderId="42" xfId="0" applyNumberFormat="1" applyFont="1" applyBorder="1" applyAlignment="1" applyProtection="1">
      <alignment vertical="center"/>
    </xf>
    <xf numFmtId="49" fontId="55" fillId="0" borderId="75" xfId="0" applyNumberFormat="1" applyFont="1" applyBorder="1" applyAlignment="1" applyProtection="1">
      <alignment vertical="center"/>
    </xf>
    <xf numFmtId="0" fontId="43" fillId="0" borderId="3" xfId="0" applyFont="1" applyBorder="1" applyAlignment="1" applyProtection="1">
      <alignment vertical="center"/>
    </xf>
    <xf numFmtId="0" fontId="14" fillId="0" borderId="4" xfId="0" applyFont="1" applyBorder="1" applyAlignment="1" applyProtection="1">
      <alignment vertical="center"/>
    </xf>
    <xf numFmtId="0" fontId="43" fillId="0" borderId="4" xfId="0" applyFont="1" applyBorder="1" applyAlignment="1" applyProtection="1">
      <alignment horizontal="right" vertical="center"/>
    </xf>
    <xf numFmtId="0" fontId="47" fillId="0" borderId="2" xfId="0" applyFont="1" applyFill="1" applyBorder="1" applyAlignment="1" applyProtection="1">
      <alignment vertical="center"/>
    </xf>
    <xf numFmtId="9" fontId="16" fillId="0" borderId="2" xfId="0" applyNumberFormat="1" applyFont="1" applyFill="1" applyBorder="1" applyAlignment="1" applyProtection="1">
      <alignment vertical="center"/>
    </xf>
    <xf numFmtId="0" fontId="85" fillId="0" borderId="8" xfId="0" applyFont="1" applyBorder="1" applyAlignment="1" applyProtection="1">
      <alignment horizontal="center" vertical="center"/>
      <protection locked="0"/>
    </xf>
    <xf numFmtId="180" fontId="7" fillId="0" borderId="43" xfId="0" applyNumberFormat="1" applyFont="1" applyBorder="1" applyAlignment="1" applyProtection="1">
      <alignment vertical="center"/>
    </xf>
    <xf numFmtId="180" fontId="7" fillId="0" borderId="44" xfId="0" applyNumberFormat="1" applyFont="1" applyBorder="1" applyAlignment="1" applyProtection="1">
      <alignment vertical="center"/>
    </xf>
    <xf numFmtId="0" fontId="92" fillId="0" borderId="2" xfId="0" applyFont="1" applyBorder="1" applyAlignment="1" applyProtection="1">
      <alignment horizontal="center" vertical="center"/>
      <protection locked="0"/>
    </xf>
    <xf numFmtId="49" fontId="80" fillId="0" borderId="9" xfId="0" applyNumberFormat="1" applyFont="1" applyBorder="1" applyAlignment="1" applyProtection="1">
      <alignment vertical="center"/>
    </xf>
    <xf numFmtId="49" fontId="55" fillId="0" borderId="76" xfId="0" applyNumberFormat="1" applyFont="1" applyBorder="1" applyAlignment="1" applyProtection="1">
      <alignment vertical="center"/>
    </xf>
    <xf numFmtId="0" fontId="14" fillId="0" borderId="17" xfId="0" applyFont="1" applyBorder="1" applyAlignment="1" applyProtection="1">
      <alignment vertical="center"/>
    </xf>
    <xf numFmtId="0" fontId="17" fillId="0" borderId="17" xfId="0" applyFont="1" applyBorder="1" applyAlignment="1" applyProtection="1">
      <alignment vertical="center"/>
    </xf>
    <xf numFmtId="49" fontId="55" fillId="0" borderId="17" xfId="0" applyNumberFormat="1" applyFont="1" applyBorder="1" applyAlignment="1" applyProtection="1">
      <alignment vertical="center"/>
    </xf>
    <xf numFmtId="0" fontId="17" fillId="0" borderId="17" xfId="0" applyFont="1" applyBorder="1" applyAlignment="1" applyProtection="1">
      <alignment horizontal="right" vertical="center"/>
    </xf>
    <xf numFmtId="0" fontId="17" fillId="0" borderId="30" xfId="0" applyFont="1" applyBorder="1" applyAlignment="1" applyProtection="1">
      <alignment horizontal="right" vertical="center"/>
    </xf>
    <xf numFmtId="0" fontId="14" fillId="0" borderId="77" xfId="0" applyFont="1" applyBorder="1" applyAlignment="1">
      <alignment vertical="center"/>
    </xf>
    <xf numFmtId="0" fontId="14" fillId="0" borderId="78" xfId="0" applyFont="1" applyBorder="1" applyAlignment="1">
      <alignment vertical="center"/>
    </xf>
    <xf numFmtId="0" fontId="16" fillId="0" borderId="78" xfId="0" applyFont="1" applyBorder="1" applyAlignment="1">
      <alignment vertical="center"/>
    </xf>
    <xf numFmtId="0" fontId="17" fillId="0" borderId="78" xfId="0" applyFont="1" applyBorder="1" applyAlignment="1">
      <alignment horizontal="right" vertical="center"/>
    </xf>
    <xf numFmtId="0" fontId="0" fillId="0" borderId="79" xfId="0" applyBorder="1"/>
    <xf numFmtId="0" fontId="0" fillId="0" borderId="1" xfId="0" applyBorder="1"/>
    <xf numFmtId="0" fontId="7" fillId="0" borderId="1" xfId="0" applyFont="1" applyBorder="1" applyAlignment="1">
      <alignment horizontal="right" vertical="center"/>
    </xf>
    <xf numFmtId="0" fontId="7" fillId="0" borderId="67" xfId="0" applyFont="1" applyBorder="1" applyAlignment="1">
      <alignment horizontal="right" vertical="center"/>
    </xf>
    <xf numFmtId="0" fontId="7" fillId="0" borderId="12" xfId="0" applyFont="1" applyBorder="1" applyAlignment="1">
      <alignment horizontal="right" vertical="center"/>
    </xf>
    <xf numFmtId="0" fontId="7" fillId="0" borderId="80" xfId="0" applyFont="1" applyBorder="1" applyAlignment="1">
      <alignment horizontal="right" vertical="center"/>
    </xf>
    <xf numFmtId="178" fontId="4" fillId="0" borderId="0" xfId="0" applyNumberFormat="1" applyFont="1"/>
    <xf numFmtId="0" fontId="4" fillId="0" borderId="0" xfId="0" applyFont="1"/>
    <xf numFmtId="0" fontId="84" fillId="0" borderId="0" xfId="0" applyFont="1" applyBorder="1" applyAlignment="1" applyProtection="1">
      <alignment horizontal="center" vertical="center"/>
      <protection locked="0"/>
    </xf>
    <xf numFmtId="0" fontId="78" fillId="0" borderId="9" xfId="0" applyFont="1" applyBorder="1" applyAlignment="1" applyProtection="1">
      <alignment horizontal="left" vertical="center"/>
    </xf>
    <xf numFmtId="0" fontId="71" fillId="0" borderId="9" xfId="0" applyFont="1" applyBorder="1" applyAlignment="1" applyProtection="1">
      <alignment horizontal="left" vertical="center"/>
    </xf>
    <xf numFmtId="0" fontId="15" fillId="0" borderId="9" xfId="0" applyFont="1" applyBorder="1" applyAlignment="1" applyProtection="1">
      <alignment horizontal="left" vertical="center"/>
    </xf>
    <xf numFmtId="0" fontId="14" fillId="0" borderId="9" xfId="0" applyFont="1" applyBorder="1" applyAlignment="1" applyProtection="1">
      <alignment horizontal="left" vertical="center"/>
    </xf>
    <xf numFmtId="0" fontId="63" fillId="0" borderId="9" xfId="0" applyFont="1" applyBorder="1" applyAlignment="1" applyProtection="1">
      <alignment horizontal="left" vertical="center"/>
    </xf>
    <xf numFmtId="0" fontId="70" fillId="0" borderId="0" xfId="0" applyFont="1" applyBorder="1" applyAlignment="1" applyProtection="1">
      <alignment horizontal="left" vertical="center"/>
    </xf>
    <xf numFmtId="0" fontId="67" fillId="0" borderId="0" xfId="0" applyFont="1" applyBorder="1" applyAlignment="1" applyProtection="1">
      <alignment horizontal="left" vertical="center"/>
    </xf>
    <xf numFmtId="0" fontId="95" fillId="0" borderId="0" xfId="0" applyFont="1" applyBorder="1" applyAlignment="1" applyProtection="1">
      <alignment horizontal="left" vertical="center"/>
    </xf>
    <xf numFmtId="0" fontId="96" fillId="0" borderId="81" xfId="0" applyFont="1" applyBorder="1" applyAlignment="1" applyProtection="1">
      <alignment horizontal="center" vertical="center"/>
    </xf>
    <xf numFmtId="49" fontId="17" fillId="0" borderId="11" xfId="0" applyNumberFormat="1" applyFont="1" applyFill="1" applyBorder="1" applyAlignment="1" applyProtection="1">
      <alignment vertical="center"/>
      <protection locked="0"/>
    </xf>
    <xf numFmtId="0" fontId="84" fillId="0" borderId="82" xfId="0" applyFont="1" applyBorder="1" applyAlignment="1" applyProtection="1">
      <alignment horizontal="center" vertical="center" wrapText="1"/>
    </xf>
    <xf numFmtId="0" fontId="14" fillId="0" borderId="83" xfId="0" applyFont="1" applyBorder="1" applyAlignment="1" applyProtection="1">
      <alignment vertical="center"/>
    </xf>
    <xf numFmtId="49" fontId="14" fillId="0" borderId="0" xfId="0" applyNumberFormat="1" applyFont="1" applyBorder="1" applyAlignment="1">
      <alignment vertical="center"/>
    </xf>
    <xf numFmtId="49" fontId="17" fillId="3" borderId="84" xfId="0" applyNumberFormat="1" applyFont="1" applyFill="1" applyBorder="1" applyAlignment="1" applyProtection="1">
      <alignment vertical="center"/>
      <protection locked="0"/>
    </xf>
    <xf numFmtId="0" fontId="4" fillId="0" borderId="85" xfId="0" applyFont="1" applyBorder="1" applyAlignment="1" applyProtection="1">
      <alignment vertical="center"/>
    </xf>
    <xf numFmtId="0" fontId="4" fillId="0" borderId="86" xfId="0" applyFont="1" applyBorder="1" applyAlignment="1" applyProtection="1">
      <alignment vertical="center"/>
    </xf>
    <xf numFmtId="0" fontId="35" fillId="0" borderId="5" xfId="0" applyFont="1" applyBorder="1" applyAlignment="1" applyProtection="1">
      <alignment horizontal="center" vertical="center"/>
    </xf>
    <xf numFmtId="0" fontId="16" fillId="0" borderId="0" xfId="0" applyFont="1" applyBorder="1" applyAlignment="1" applyProtection="1">
      <alignment horizontal="right" vertical="center"/>
    </xf>
    <xf numFmtId="0" fontId="14" fillId="0" borderId="9" xfId="0" applyFont="1" applyBorder="1" applyAlignment="1" applyProtection="1">
      <alignment vertical="center"/>
    </xf>
    <xf numFmtId="49" fontId="55" fillId="0" borderId="52" xfId="0" applyNumberFormat="1" applyFont="1" applyBorder="1" applyAlignment="1" applyProtection="1">
      <alignment vertical="center"/>
    </xf>
    <xf numFmtId="0" fontId="17" fillId="0" borderId="6" xfId="0" applyFont="1" applyBorder="1" applyAlignment="1" applyProtection="1">
      <alignment horizontal="center" vertical="center"/>
    </xf>
    <xf numFmtId="0" fontId="17" fillId="0" borderId="0" xfId="0" applyFont="1" applyBorder="1" applyAlignment="1" applyProtection="1">
      <alignment horizontal="center" vertical="center"/>
    </xf>
    <xf numFmtId="0" fontId="37" fillId="0" borderId="13" xfId="0" applyFont="1" applyBorder="1" applyAlignment="1" applyProtection="1">
      <alignment horizontal="center" vertical="center"/>
    </xf>
    <xf numFmtId="0" fontId="43" fillId="0" borderId="58" xfId="0" applyFont="1" applyFill="1" applyBorder="1" applyAlignment="1" applyProtection="1">
      <alignment horizontal="left" vertical="center"/>
    </xf>
    <xf numFmtId="0" fontId="17" fillId="0" borderId="7" xfId="0" applyFont="1" applyBorder="1" applyAlignment="1" applyProtection="1">
      <alignment horizontal="right" vertical="center"/>
    </xf>
    <xf numFmtId="0" fontId="16" fillId="0" borderId="9" xfId="0" applyFont="1" applyBorder="1" applyAlignment="1">
      <alignment horizontal="right" vertical="center"/>
    </xf>
    <xf numFmtId="0" fontId="14" fillId="0" borderId="87" xfId="0" applyFont="1" applyBorder="1" applyAlignment="1">
      <alignment vertical="center"/>
    </xf>
    <xf numFmtId="0" fontId="14" fillId="0" borderId="53" xfId="0" applyFont="1" applyBorder="1" applyAlignment="1">
      <alignment vertical="center"/>
    </xf>
    <xf numFmtId="0" fontId="16" fillId="0" borderId="11"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178" fontId="7" fillId="4" borderId="57" xfId="0" applyNumberFormat="1" applyFont="1" applyFill="1" applyBorder="1" applyAlignment="1" applyProtection="1">
      <alignment horizontal="right" vertical="center"/>
    </xf>
    <xf numFmtId="0" fontId="92" fillId="0" borderId="8" xfId="0" applyFont="1" applyBorder="1" applyAlignment="1" applyProtection="1">
      <alignment horizontal="center" vertical="center"/>
    </xf>
    <xf numFmtId="0" fontId="84" fillId="0" borderId="9" xfId="0" applyFont="1" applyBorder="1" applyAlignment="1" applyProtection="1">
      <alignment horizontal="center" vertical="center"/>
    </xf>
    <xf numFmtId="0" fontId="92" fillId="0" borderId="2" xfId="0" applyFont="1" applyBorder="1" applyAlignment="1" applyProtection="1">
      <alignment horizontal="center" vertical="center"/>
    </xf>
    <xf numFmtId="0" fontId="84" fillId="0" borderId="0" xfId="0" applyFont="1" applyBorder="1" applyAlignment="1" applyProtection="1">
      <alignment horizontal="center" vertical="center"/>
    </xf>
    <xf numFmtId="0" fontId="14" fillId="0" borderId="18" xfId="0" applyFont="1" applyBorder="1" applyAlignment="1" applyProtection="1">
      <alignment vertical="center"/>
    </xf>
    <xf numFmtId="0" fontId="94" fillId="0" borderId="0" xfId="13" applyFont="1" applyFill="1" applyBorder="1" applyAlignment="1" applyProtection="1">
      <alignment vertical="center"/>
    </xf>
    <xf numFmtId="0" fontId="94" fillId="0" borderId="13" xfId="13" applyFont="1" applyFill="1" applyBorder="1" applyAlignment="1" applyProtection="1">
      <alignment vertical="center"/>
    </xf>
    <xf numFmtId="182" fontId="102" fillId="0" borderId="2" xfId="13" applyNumberFormat="1" applyFont="1" applyFill="1" applyBorder="1" applyAlignment="1" applyProtection="1">
      <alignment vertical="center"/>
    </xf>
    <xf numFmtId="0" fontId="94" fillId="0" borderId="11" xfId="13" applyFont="1" applyFill="1" applyBorder="1" applyAlignment="1" applyProtection="1">
      <alignment vertical="center"/>
    </xf>
    <xf numFmtId="0" fontId="15" fillId="0" borderId="0" xfId="0" applyFont="1" applyBorder="1" applyAlignment="1" applyProtection="1">
      <alignment horizontal="right" vertical="center"/>
    </xf>
    <xf numFmtId="0" fontId="14" fillId="0" borderId="13" xfId="0" applyFont="1" applyBorder="1" applyAlignment="1" applyProtection="1">
      <alignment vertical="center"/>
    </xf>
    <xf numFmtId="0" fontId="101" fillId="0" borderId="0" xfId="13" applyFont="1" applyFill="1" applyBorder="1" applyAlignment="1" applyProtection="1">
      <alignment horizontal="right" vertical="center"/>
    </xf>
    <xf numFmtId="0" fontId="93" fillId="0" borderId="34" xfId="0" applyFont="1" applyFill="1" applyBorder="1" applyAlignment="1" applyProtection="1">
      <alignment horizontal="center" vertical="center" wrapText="1"/>
    </xf>
    <xf numFmtId="0" fontId="93" fillId="0" borderId="13" xfId="13" applyFont="1" applyFill="1" applyBorder="1" applyAlignment="1" applyProtection="1">
      <alignment vertical="center"/>
    </xf>
    <xf numFmtId="0" fontId="15" fillId="0" borderId="13" xfId="0" applyFont="1" applyBorder="1" applyAlignment="1" applyProtection="1">
      <alignment horizontal="right" vertical="center"/>
    </xf>
    <xf numFmtId="0" fontId="94" fillId="0" borderId="88" xfId="13" applyFont="1" applyFill="1" applyBorder="1" applyAlignment="1" applyProtection="1">
      <alignment vertical="center"/>
    </xf>
    <xf numFmtId="0" fontId="6" fillId="0" borderId="38"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49" fontId="5" fillId="0" borderId="38" xfId="0" applyNumberFormat="1" applyFont="1" applyFill="1" applyBorder="1" applyAlignment="1" applyProtection="1">
      <alignment horizontal="center" vertical="center"/>
    </xf>
    <xf numFmtId="0" fontId="16" fillId="0" borderId="89" xfId="0" applyFont="1" applyBorder="1" applyAlignment="1" applyProtection="1">
      <alignment horizontal="right" vertical="center"/>
    </xf>
    <xf numFmtId="0" fontId="16" fillId="0" borderId="90" xfId="0" applyFont="1" applyFill="1" applyBorder="1" applyAlignment="1" applyProtection="1">
      <alignment horizontal="right" vertical="center"/>
    </xf>
    <xf numFmtId="0" fontId="16" fillId="0" borderId="91" xfId="0" applyFont="1" applyFill="1" applyBorder="1" applyAlignment="1" applyProtection="1">
      <alignment horizontal="right" vertical="center"/>
    </xf>
    <xf numFmtId="0" fontId="16" fillId="0" borderId="92" xfId="0" applyFont="1" applyFill="1" applyBorder="1" applyAlignment="1" applyProtection="1">
      <alignment horizontal="right" vertical="center"/>
    </xf>
    <xf numFmtId="0" fontId="16" fillId="0" borderId="92" xfId="0" applyFont="1" applyBorder="1" applyAlignment="1" applyProtection="1">
      <alignment horizontal="right" vertical="center"/>
    </xf>
    <xf numFmtId="0" fontId="16" fillId="0" borderId="91" xfId="0" applyFont="1" applyBorder="1" applyAlignment="1" applyProtection="1">
      <alignment horizontal="right" vertical="center"/>
    </xf>
    <xf numFmtId="0" fontId="16" fillId="0" borderId="93" xfId="0" applyFont="1" applyBorder="1" applyAlignment="1" applyProtection="1">
      <alignment horizontal="right" vertical="center"/>
    </xf>
    <xf numFmtId="0" fontId="16" fillId="0" borderId="94" xfId="0" applyFont="1" applyFill="1" applyBorder="1" applyAlignment="1" applyProtection="1">
      <alignment horizontal="right" vertical="center"/>
    </xf>
    <xf numFmtId="0" fontId="16" fillId="0" borderId="95" xfId="0" applyFont="1" applyFill="1" applyBorder="1" applyAlignment="1" applyProtection="1">
      <alignment horizontal="right" vertical="center"/>
    </xf>
    <xf numFmtId="0" fontId="16" fillId="0" borderId="96" xfId="0" applyFont="1" applyFill="1" applyBorder="1" applyAlignment="1" applyProtection="1">
      <alignment horizontal="right" vertical="center"/>
    </xf>
    <xf numFmtId="0" fontId="16" fillId="0" borderId="93" xfId="0" applyFont="1" applyFill="1" applyBorder="1" applyAlignment="1" applyProtection="1">
      <alignment horizontal="right" vertical="center"/>
    </xf>
    <xf numFmtId="1" fontId="76" fillId="0" borderId="14" xfId="0" applyNumberFormat="1" applyFont="1" applyFill="1" applyBorder="1" applyAlignment="1" applyProtection="1">
      <alignment horizontal="left" vertical="center"/>
    </xf>
    <xf numFmtId="0" fontId="16" fillId="0" borderId="97" xfId="0" applyFont="1" applyFill="1" applyBorder="1" applyAlignment="1" applyProtection="1">
      <alignment horizontal="right" vertical="center"/>
    </xf>
    <xf numFmtId="0" fontId="16" fillId="0" borderId="98" xfId="0" applyFont="1" applyFill="1" applyBorder="1" applyAlignment="1" applyProtection="1">
      <alignment horizontal="right" vertical="center"/>
    </xf>
    <xf numFmtId="0" fontId="4" fillId="0" borderId="91" xfId="0" applyFont="1" applyFill="1" applyBorder="1" applyAlignment="1" applyProtection="1">
      <alignment horizontal="right" vertical="center"/>
    </xf>
    <xf numFmtId="0" fontId="14" fillId="0" borderId="99" xfId="0" applyFont="1" applyBorder="1" applyAlignment="1">
      <alignment horizontal="right" vertical="center"/>
    </xf>
    <xf numFmtId="0" fontId="16" fillId="0" borderId="100" xfId="0" applyFont="1" applyFill="1" applyBorder="1" applyAlignment="1" applyProtection="1">
      <alignment horizontal="right" vertical="center"/>
    </xf>
    <xf numFmtId="0" fontId="14" fillId="0" borderId="21" xfId="0" applyFont="1" applyFill="1" applyBorder="1" applyAlignment="1" applyProtection="1">
      <alignment horizontal="right" vertical="center"/>
    </xf>
    <xf numFmtId="0" fontId="25" fillId="0" borderId="101" xfId="0" applyFont="1" applyFill="1" applyBorder="1" applyAlignment="1" applyProtection="1">
      <alignment horizontal="right" vertical="center"/>
    </xf>
    <xf numFmtId="0" fontId="16" fillId="0" borderId="102" xfId="0" applyFont="1" applyFill="1" applyBorder="1" applyAlignment="1" applyProtection="1">
      <alignment horizontal="right" vertical="center"/>
    </xf>
    <xf numFmtId="0" fontId="16" fillId="0" borderId="102" xfId="0" applyFont="1" applyFill="1" applyBorder="1" applyAlignment="1" applyProtection="1">
      <alignment horizontal="right" vertical="center" wrapText="1"/>
    </xf>
    <xf numFmtId="0" fontId="16" fillId="0" borderId="102" xfId="0" applyFont="1" applyBorder="1" applyAlignment="1" applyProtection="1">
      <alignment horizontal="right" vertical="center"/>
    </xf>
    <xf numFmtId="0" fontId="16" fillId="0" borderId="103" xfId="0" applyFont="1" applyBorder="1" applyAlignment="1" applyProtection="1">
      <alignment horizontal="right" vertical="center"/>
    </xf>
    <xf numFmtId="0" fontId="16" fillId="0" borderId="104" xfId="0" applyFont="1" applyBorder="1" applyAlignment="1" applyProtection="1">
      <alignment horizontal="right" vertical="center"/>
    </xf>
    <xf numFmtId="0" fontId="16" fillId="0" borderId="105" xfId="0" applyFont="1" applyBorder="1" applyAlignment="1" applyProtection="1">
      <alignment horizontal="right" vertical="center"/>
    </xf>
    <xf numFmtId="0" fontId="16" fillId="0" borderId="106" xfId="0" applyFont="1" applyBorder="1" applyAlignment="1" applyProtection="1">
      <alignment horizontal="right" vertical="center"/>
    </xf>
    <xf numFmtId="0" fontId="103" fillId="0" borderId="24" xfId="0" applyFont="1" applyFill="1" applyBorder="1" applyAlignment="1" applyProtection="1">
      <alignment horizontal="center" vertical="center"/>
    </xf>
    <xf numFmtId="0" fontId="33" fillId="0" borderId="11" xfId="0" applyFont="1" applyBorder="1" applyAlignment="1">
      <alignment horizontal="left" vertical="center"/>
    </xf>
    <xf numFmtId="0" fontId="16" fillId="0" borderId="107" xfId="0" applyFont="1" applyBorder="1" applyAlignment="1" applyProtection="1">
      <alignment horizontal="right" vertical="center"/>
    </xf>
    <xf numFmtId="0" fontId="16" fillId="0" borderId="108" xfId="0" applyFont="1" applyFill="1" applyBorder="1" applyAlignment="1" applyProtection="1">
      <alignment horizontal="right" vertical="center"/>
    </xf>
    <xf numFmtId="0" fontId="16" fillId="0" borderId="109" xfId="0" applyFont="1" applyFill="1" applyBorder="1" applyAlignment="1" applyProtection="1">
      <alignment horizontal="right" vertical="center"/>
    </xf>
    <xf numFmtId="0" fontId="7" fillId="4" borderId="110" xfId="0" applyFont="1" applyFill="1" applyBorder="1" applyAlignment="1" applyProtection="1">
      <alignment horizontal="center" vertical="center" wrapText="1"/>
    </xf>
    <xf numFmtId="0" fontId="14" fillId="0" borderId="111" xfId="0" applyFont="1" applyBorder="1" applyAlignment="1">
      <alignment horizontal="right" vertical="center"/>
    </xf>
    <xf numFmtId="0" fontId="14" fillId="0" borderId="104" xfId="0" applyFont="1" applyBorder="1" applyAlignment="1">
      <alignment horizontal="right" vertical="center"/>
    </xf>
    <xf numFmtId="0" fontId="14" fillId="0" borderId="112" xfId="0" applyFont="1" applyBorder="1" applyAlignment="1">
      <alignment horizontal="right" vertical="center"/>
    </xf>
    <xf numFmtId="0" fontId="14" fillId="0" borderId="113" xfId="0" applyFont="1" applyBorder="1" applyAlignment="1">
      <alignment horizontal="right" vertical="center"/>
    </xf>
    <xf numFmtId="0" fontId="14" fillId="0" borderId="20" xfId="0" applyFont="1" applyBorder="1" applyAlignment="1">
      <alignment horizontal="right" vertical="center"/>
    </xf>
    <xf numFmtId="0" fontId="14" fillId="0" borderId="114" xfId="0" applyFont="1" applyBorder="1" applyAlignment="1">
      <alignment horizontal="right" vertical="center"/>
    </xf>
    <xf numFmtId="0" fontId="14" fillId="0" borderId="115" xfId="0" applyFont="1" applyBorder="1" applyAlignment="1">
      <alignment horizontal="right" vertical="center"/>
    </xf>
    <xf numFmtId="0" fontId="14" fillId="0" borderId="116" xfId="0" applyFont="1" applyBorder="1" applyAlignment="1">
      <alignment horizontal="right" vertical="center"/>
    </xf>
    <xf numFmtId="0" fontId="85" fillId="0" borderId="9" xfId="0" applyFont="1" applyBorder="1" applyAlignment="1" applyProtection="1">
      <alignment horizontal="center" vertical="center"/>
      <protection locked="0"/>
    </xf>
    <xf numFmtId="0" fontId="85" fillId="0" borderId="0" xfId="0" applyFont="1" applyBorder="1" applyAlignment="1" applyProtection="1">
      <alignment horizontal="center" vertical="center"/>
      <protection locked="0"/>
    </xf>
    <xf numFmtId="0" fontId="98" fillId="0" borderId="2" xfId="0" applyFont="1" applyBorder="1" applyAlignment="1">
      <alignment horizontal="center" vertical="center"/>
    </xf>
    <xf numFmtId="0" fontId="98" fillId="0" borderId="0" xfId="0" applyFont="1" applyBorder="1" applyAlignment="1">
      <alignment horizontal="center" vertical="center"/>
    </xf>
    <xf numFmtId="0" fontId="14" fillId="0" borderId="0" xfId="0" applyFont="1" applyBorder="1" applyAlignment="1">
      <alignment horizontal="left" vertical="center"/>
    </xf>
    <xf numFmtId="49" fontId="55" fillId="0" borderId="117" xfId="0" applyNumberFormat="1" applyFont="1" applyBorder="1" applyAlignment="1" applyProtection="1">
      <alignment horizontal="left" vertical="center"/>
    </xf>
    <xf numFmtId="49" fontId="55" fillId="0" borderId="75" xfId="0" applyNumberFormat="1" applyFont="1" applyBorder="1" applyAlignment="1" applyProtection="1">
      <alignment horizontal="left" vertical="center"/>
    </xf>
    <xf numFmtId="186" fontId="55" fillId="0" borderId="24" xfId="0" applyNumberFormat="1" applyFont="1" applyBorder="1" applyAlignment="1" applyProtection="1">
      <alignment horizontal="center" vertical="center"/>
    </xf>
    <xf numFmtId="9" fontId="104" fillId="0" borderId="110" xfId="0" applyNumberFormat="1" applyFont="1" applyFill="1" applyBorder="1" applyAlignment="1" applyProtection="1">
      <alignment horizontal="center" vertical="center"/>
    </xf>
    <xf numFmtId="0" fontId="27" fillId="0" borderId="60" xfId="0" applyFont="1" applyFill="1" applyBorder="1" applyAlignment="1" applyProtection="1">
      <alignment horizontal="center" vertical="center"/>
    </xf>
    <xf numFmtId="0" fontId="67" fillId="0" borderId="0" xfId="0" applyFont="1" applyBorder="1" applyAlignment="1" applyProtection="1">
      <alignment horizontal="right" vertical="center"/>
    </xf>
    <xf numFmtId="0" fontId="63" fillId="0" borderId="9" xfId="0" applyFont="1" applyBorder="1" applyAlignment="1" applyProtection="1">
      <alignment horizontal="center" vertical="center"/>
    </xf>
    <xf numFmtId="0" fontId="89" fillId="0" borderId="0" xfId="0" applyFont="1" applyBorder="1" applyAlignment="1">
      <alignment horizontal="left" vertical="center"/>
    </xf>
    <xf numFmtId="49" fontId="16" fillId="0" borderId="0" xfId="0" applyNumberFormat="1" applyFont="1" applyFill="1" applyBorder="1" applyAlignment="1" applyProtection="1">
      <alignment horizontal="right" vertical="center"/>
    </xf>
    <xf numFmtId="49" fontId="16" fillId="0" borderId="84" xfId="0" applyNumberFormat="1" applyFont="1" applyBorder="1" applyAlignment="1">
      <alignment horizontal="right" vertical="center"/>
    </xf>
    <xf numFmtId="1" fontId="107" fillId="7" borderId="19" xfId="0" applyNumberFormat="1" applyFont="1" applyFill="1" applyBorder="1" applyAlignment="1" applyProtection="1">
      <alignment horizontal="center" vertical="center"/>
      <protection locked="0"/>
    </xf>
    <xf numFmtId="49" fontId="17" fillId="0" borderId="44" xfId="0" applyNumberFormat="1" applyFont="1" applyBorder="1" applyAlignment="1" applyProtection="1">
      <alignment horizontal="center" vertical="center"/>
    </xf>
    <xf numFmtId="0" fontId="17" fillId="0" borderId="9" xfId="0" applyFont="1" applyBorder="1" applyAlignment="1" applyProtection="1">
      <alignment horizontal="right" vertical="center"/>
    </xf>
    <xf numFmtId="178" fontId="4" fillId="7" borderId="11" xfId="0" applyNumberFormat="1" applyFont="1" applyFill="1" applyBorder="1" applyAlignment="1" applyProtection="1">
      <alignment horizontal="right" vertical="center"/>
    </xf>
    <xf numFmtId="0" fontId="7" fillId="4" borderId="110" xfId="0" applyFont="1" applyFill="1" applyBorder="1" applyAlignment="1" applyProtection="1">
      <alignment horizontal="center" vertical="top" wrapText="1"/>
    </xf>
    <xf numFmtId="180" fontId="7" fillId="8" borderId="118" xfId="0" applyNumberFormat="1" applyFont="1" applyFill="1" applyBorder="1" applyAlignment="1" applyProtection="1">
      <alignment horizontal="center" vertical="center" wrapText="1"/>
    </xf>
    <xf numFmtId="184" fontId="14" fillId="0" borderId="11" xfId="0" applyNumberFormat="1" applyFont="1" applyBorder="1" applyAlignment="1">
      <alignment horizontal="left" vertical="center"/>
    </xf>
    <xf numFmtId="0" fontId="84" fillId="0" borderId="0" xfId="0" applyFont="1" applyBorder="1" applyAlignment="1">
      <alignment vertical="center"/>
    </xf>
    <xf numFmtId="0" fontId="17" fillId="4" borderId="110" xfId="0" applyFont="1" applyFill="1" applyBorder="1" applyAlignment="1" applyProtection="1">
      <alignment horizontal="center" vertical="top" wrapText="1"/>
    </xf>
    <xf numFmtId="0" fontId="17" fillId="8" borderId="119" xfId="0" applyFont="1" applyFill="1" applyBorder="1" applyAlignment="1" applyProtection="1">
      <alignment horizontal="center" vertical="top" wrapText="1"/>
    </xf>
    <xf numFmtId="180" fontId="7" fillId="8" borderId="74" xfId="0" applyNumberFormat="1" applyFont="1" applyFill="1" applyBorder="1" applyAlignment="1" applyProtection="1">
      <alignment horizontal="center" vertical="top" wrapText="1"/>
    </xf>
    <xf numFmtId="0" fontId="46" fillId="0" borderId="13" xfId="13" applyFont="1" applyFill="1" applyBorder="1" applyAlignment="1" applyProtection="1">
      <alignment horizontal="left" vertical="center"/>
    </xf>
    <xf numFmtId="49" fontId="16" fillId="0" borderId="13" xfId="0" applyNumberFormat="1" applyFont="1" applyBorder="1" applyAlignment="1" applyProtection="1">
      <alignment vertical="center"/>
    </xf>
    <xf numFmtId="195" fontId="68" fillId="0" borderId="19" xfId="0" applyNumberFormat="1" applyFont="1" applyBorder="1" applyAlignment="1" applyProtection="1">
      <alignment horizontal="left" vertical="center"/>
    </xf>
    <xf numFmtId="0" fontId="14" fillId="0" borderId="0" xfId="0" applyFont="1" applyBorder="1" applyAlignment="1">
      <alignment vertical="center" wrapText="1"/>
    </xf>
    <xf numFmtId="49" fontId="33" fillId="0" borderId="0" xfId="0" applyNumberFormat="1" applyFont="1" applyBorder="1" applyAlignment="1" applyProtection="1">
      <alignment vertical="center"/>
    </xf>
    <xf numFmtId="0" fontId="33" fillId="0" borderId="0" xfId="0" applyFont="1" applyBorder="1" applyAlignment="1" applyProtection="1">
      <alignment vertical="center"/>
    </xf>
    <xf numFmtId="0" fontId="33" fillId="0" borderId="11" xfId="0" applyFont="1" applyBorder="1" applyAlignment="1" applyProtection="1">
      <alignment vertical="center"/>
    </xf>
    <xf numFmtId="184" fontId="14" fillId="0" borderId="0" xfId="0" applyNumberFormat="1" applyFont="1" applyBorder="1" applyAlignment="1" applyProtection="1">
      <alignment horizontal="left" vertical="center"/>
    </xf>
    <xf numFmtId="0" fontId="29" fillId="0" borderId="0" xfId="0" applyNumberFormat="1" applyFont="1" applyBorder="1" applyAlignment="1" applyProtection="1">
      <alignment horizontal="left" vertical="center"/>
    </xf>
    <xf numFmtId="0" fontId="7" fillId="4" borderId="120" xfId="0" applyFont="1" applyFill="1" applyBorder="1" applyAlignment="1" applyProtection="1">
      <alignment horizontal="center" vertical="top" wrapText="1"/>
    </xf>
    <xf numFmtId="0" fontId="99" fillId="4" borderId="14" xfId="0" applyFont="1" applyFill="1" applyBorder="1" applyAlignment="1" applyProtection="1">
      <alignment horizontal="center" vertical="top"/>
    </xf>
    <xf numFmtId="186" fontId="64" fillId="2" borderId="14" xfId="0" applyNumberFormat="1" applyFont="1" applyFill="1" applyBorder="1" applyAlignment="1" applyProtection="1">
      <alignment horizontal="right"/>
    </xf>
    <xf numFmtId="15" fontId="64" fillId="0" borderId="88" xfId="0" applyNumberFormat="1" applyFont="1" applyBorder="1" applyAlignment="1" applyProtection="1">
      <alignment horizontal="right"/>
    </xf>
    <xf numFmtId="195" fontId="33" fillId="0" borderId="24" xfId="0" applyNumberFormat="1" applyFont="1" applyBorder="1" applyAlignment="1">
      <alignment horizontal="left" vertical="center"/>
    </xf>
    <xf numFmtId="0" fontId="36" fillId="0" borderId="42" xfId="0" applyFont="1" applyBorder="1" applyAlignment="1">
      <alignment vertical="center"/>
    </xf>
    <xf numFmtId="0" fontId="0" fillId="0" borderId="2" xfId="0" applyBorder="1"/>
    <xf numFmtId="0" fontId="7" fillId="0" borderId="0" xfId="0" applyFont="1" applyBorder="1" applyAlignment="1" applyProtection="1">
      <alignment horizontal="right" vertical="center"/>
    </xf>
    <xf numFmtId="49" fontId="33" fillId="0" borderId="0" xfId="0" quotePrefix="1" applyNumberFormat="1" applyFont="1" applyFill="1" applyBorder="1" applyAlignment="1" applyProtection="1">
      <alignment horizontal="left" vertical="center" wrapText="1"/>
    </xf>
    <xf numFmtId="15" fontId="64" fillId="0" borderId="11" xfId="0" applyNumberFormat="1" applyFont="1" applyBorder="1" applyAlignment="1" applyProtection="1">
      <alignment horizontal="left" vertical="center"/>
    </xf>
    <xf numFmtId="184" fontId="31" fillId="0" borderId="42" xfId="0" applyNumberFormat="1" applyFont="1" applyBorder="1" applyAlignment="1" applyProtection="1">
      <alignment horizontal="left" vertical="center"/>
    </xf>
    <xf numFmtId="0" fontId="14" fillId="0" borderId="10" xfId="0" applyFont="1" applyBorder="1" applyAlignment="1" applyProtection="1">
      <alignment vertical="center"/>
    </xf>
    <xf numFmtId="49" fontId="5" fillId="0" borderId="7" xfId="0" applyNumberFormat="1" applyFont="1" applyFill="1" applyBorder="1" applyAlignment="1" applyProtection="1">
      <alignment horizontal="center" vertical="center"/>
    </xf>
    <xf numFmtId="0" fontId="90" fillId="0" borderId="8" xfId="0" applyFont="1" applyBorder="1" applyAlignment="1" applyProtection="1">
      <alignment vertical="center"/>
    </xf>
    <xf numFmtId="0" fontId="82" fillId="0" borderId="2" xfId="0" applyFont="1" applyBorder="1" applyAlignment="1" applyProtection="1">
      <alignment vertical="center"/>
    </xf>
    <xf numFmtId="0" fontId="14" fillId="0" borderId="111" xfId="0" applyFont="1" applyBorder="1" applyAlignment="1" applyProtection="1">
      <alignment horizontal="right" vertical="center"/>
    </xf>
    <xf numFmtId="49" fontId="17" fillId="9" borderId="121" xfId="0" applyNumberFormat="1" applyFont="1" applyFill="1" applyBorder="1" applyAlignment="1" applyProtection="1">
      <alignment horizontal="left" vertical="center"/>
    </xf>
    <xf numFmtId="0" fontId="14" fillId="0" borderId="87" xfId="0" applyFont="1" applyBorder="1" applyAlignment="1" applyProtection="1">
      <alignment vertical="center"/>
    </xf>
    <xf numFmtId="0" fontId="16" fillId="0" borderId="9" xfId="0" applyFont="1" applyBorder="1" applyAlignment="1" applyProtection="1">
      <alignment horizontal="right" vertical="center"/>
    </xf>
    <xf numFmtId="0" fontId="14" fillId="0" borderId="104" xfId="0" applyFont="1" applyBorder="1" applyAlignment="1" applyProtection="1">
      <alignment horizontal="right" vertical="center"/>
    </xf>
    <xf numFmtId="192" fontId="17" fillId="3" borderId="19" xfId="0" applyNumberFormat="1" applyFont="1" applyFill="1" applyBorder="1" applyAlignment="1" applyProtection="1">
      <alignment horizontal="left" vertical="center"/>
    </xf>
    <xf numFmtId="0" fontId="14" fillId="0" borderId="53" xfId="0" applyFont="1" applyBorder="1" applyAlignment="1" applyProtection="1">
      <alignment vertical="center"/>
    </xf>
    <xf numFmtId="49" fontId="17" fillId="3" borderId="19" xfId="0" applyNumberFormat="1" applyFont="1" applyFill="1" applyBorder="1" applyAlignment="1" applyProtection="1">
      <alignment vertical="center"/>
    </xf>
    <xf numFmtId="49" fontId="14" fillId="0" borderId="11" xfId="0" applyNumberFormat="1" applyFont="1" applyBorder="1" applyAlignment="1" applyProtection="1">
      <alignment vertical="center"/>
    </xf>
    <xf numFmtId="195" fontId="17" fillId="3" borderId="19" xfId="0" applyNumberFormat="1" applyFont="1" applyFill="1" applyBorder="1" applyAlignment="1" applyProtection="1">
      <alignment horizontal="left" vertical="center"/>
    </xf>
    <xf numFmtId="49" fontId="17" fillId="3" borderId="24" xfId="0" applyNumberFormat="1" applyFont="1" applyFill="1" applyBorder="1" applyAlignment="1" applyProtection="1">
      <alignment horizontal="left" vertical="center"/>
    </xf>
    <xf numFmtId="49" fontId="16" fillId="0" borderId="11" xfId="0" applyNumberFormat="1" applyFont="1" applyFill="1" applyBorder="1" applyAlignment="1" applyProtection="1">
      <alignment vertical="center"/>
    </xf>
    <xf numFmtId="0" fontId="25" fillId="3" borderId="30" xfId="0" applyFont="1" applyFill="1" applyBorder="1" applyAlignment="1" applyProtection="1">
      <alignment horizontal="center" vertical="center"/>
    </xf>
    <xf numFmtId="0" fontId="14" fillId="0" borderId="112" xfId="0" applyFont="1" applyBorder="1" applyAlignment="1" applyProtection="1">
      <alignment horizontal="right" vertical="center"/>
    </xf>
    <xf numFmtId="0" fontId="14" fillId="0" borderId="113" xfId="0" applyFont="1" applyBorder="1" applyAlignment="1" applyProtection="1">
      <alignment horizontal="right" vertical="center"/>
    </xf>
    <xf numFmtId="49" fontId="17" fillId="3" borderId="117" xfId="0" applyNumberFormat="1" applyFont="1" applyFill="1" applyBorder="1" applyAlignment="1" applyProtection="1">
      <alignment horizontal="left" vertical="center"/>
    </xf>
    <xf numFmtId="49" fontId="17" fillId="3" borderId="42" xfId="0" applyNumberFormat="1" applyFont="1" applyFill="1" applyBorder="1" applyAlignment="1" applyProtection="1">
      <alignment horizontal="left" vertical="center"/>
    </xf>
    <xf numFmtId="49" fontId="17" fillId="3" borderId="29" xfId="0" applyNumberFormat="1" applyFont="1" applyFill="1" applyBorder="1" applyAlignment="1" applyProtection="1">
      <alignment vertical="center"/>
    </xf>
    <xf numFmtId="49" fontId="16" fillId="0" borderId="84" xfId="0" applyNumberFormat="1" applyFont="1" applyBorder="1" applyAlignment="1" applyProtection="1">
      <alignment horizontal="right" vertical="center"/>
    </xf>
    <xf numFmtId="49" fontId="17" fillId="3" borderId="84" xfId="0" applyNumberFormat="1" applyFont="1" applyFill="1" applyBorder="1" applyAlignment="1" applyProtection="1">
      <alignment vertical="center"/>
    </xf>
    <xf numFmtId="49" fontId="17" fillId="3" borderId="42" xfId="0" applyNumberFormat="1" applyFont="1" applyFill="1" applyBorder="1" applyAlignment="1" applyProtection="1">
      <alignment vertical="center"/>
    </xf>
    <xf numFmtId="49" fontId="17" fillId="0" borderId="0" xfId="0" applyNumberFormat="1" applyFont="1" applyFill="1" applyBorder="1" applyAlignment="1" applyProtection="1">
      <alignment vertical="center"/>
    </xf>
    <xf numFmtId="49" fontId="17" fillId="0" borderId="11" xfId="0" applyNumberFormat="1" applyFont="1" applyFill="1" applyBorder="1" applyAlignment="1" applyProtection="1">
      <alignment vertical="center"/>
    </xf>
    <xf numFmtId="49" fontId="17" fillId="3" borderId="19" xfId="0" applyNumberFormat="1" applyFont="1" applyFill="1" applyBorder="1" applyAlignment="1" applyProtection="1">
      <alignment horizontal="left" vertical="center"/>
    </xf>
    <xf numFmtId="49" fontId="17" fillId="3" borderId="30" xfId="0" applyNumberFormat="1" applyFont="1" applyFill="1" applyBorder="1" applyAlignment="1" applyProtection="1">
      <alignment horizontal="left" vertical="center"/>
    </xf>
    <xf numFmtId="186" fontId="17" fillId="3" borderId="19" xfId="0" applyNumberFormat="1" applyFont="1" applyFill="1" applyBorder="1" applyAlignment="1" applyProtection="1">
      <alignment horizontal="left" vertical="center"/>
    </xf>
    <xf numFmtId="0" fontId="14" fillId="0" borderId="20" xfId="0" applyFont="1" applyBorder="1" applyAlignment="1" applyProtection="1">
      <alignment horizontal="right" vertical="center"/>
    </xf>
    <xf numFmtId="1" fontId="107" fillId="7" borderId="19" xfId="0" applyNumberFormat="1" applyFont="1" applyFill="1" applyBorder="1" applyAlignment="1" applyProtection="1">
      <alignment horizontal="center" vertical="center"/>
    </xf>
    <xf numFmtId="0" fontId="14" fillId="0" borderId="114" xfId="0" applyFont="1" applyBorder="1" applyAlignment="1" applyProtection="1">
      <alignment horizontal="right" vertical="center"/>
    </xf>
    <xf numFmtId="186" fontId="17" fillId="3" borderId="30" xfId="0" applyNumberFormat="1" applyFont="1" applyFill="1" applyBorder="1" applyAlignment="1" applyProtection="1">
      <alignment horizontal="left" vertical="center"/>
    </xf>
    <xf numFmtId="0" fontId="14" fillId="0" borderId="115" xfId="0" applyFont="1" applyBorder="1" applyAlignment="1" applyProtection="1">
      <alignment horizontal="right" vertical="center"/>
    </xf>
    <xf numFmtId="0" fontId="14" fillId="0" borderId="99" xfId="0" applyFont="1" applyBorder="1" applyAlignment="1" applyProtection="1">
      <alignment horizontal="right" vertical="center"/>
    </xf>
    <xf numFmtId="0" fontId="25" fillId="3" borderId="52" xfId="0" applyFont="1" applyFill="1" applyBorder="1" applyAlignment="1" applyProtection="1">
      <alignment horizontal="center" vertical="center"/>
    </xf>
    <xf numFmtId="0" fontId="14" fillId="0" borderId="116" xfId="0" applyFont="1" applyBorder="1" applyAlignment="1" applyProtection="1">
      <alignment horizontal="right" vertical="center"/>
    </xf>
    <xf numFmtId="0" fontId="25" fillId="3" borderId="122" xfId="0" applyFont="1" applyFill="1" applyBorder="1" applyAlignment="1" applyProtection="1">
      <alignment horizontal="center" vertical="center"/>
    </xf>
    <xf numFmtId="0" fontId="25" fillId="3" borderId="123" xfId="0" applyFont="1" applyFill="1" applyBorder="1" applyAlignment="1" applyProtection="1">
      <alignment horizontal="center" vertical="center"/>
    </xf>
    <xf numFmtId="0" fontId="25" fillId="3" borderId="124" xfId="0" applyFont="1" applyFill="1" applyBorder="1" applyAlignment="1" applyProtection="1">
      <alignment horizontal="center" vertical="center"/>
    </xf>
    <xf numFmtId="0" fontId="25" fillId="3" borderId="15" xfId="0" applyFont="1" applyFill="1" applyBorder="1" applyAlignment="1" applyProtection="1">
      <alignment horizontal="center" vertical="center"/>
    </xf>
    <xf numFmtId="178" fontId="7" fillId="7" borderId="6" xfId="0" applyNumberFormat="1" applyFont="1" applyFill="1" applyBorder="1" applyAlignment="1" applyProtection="1">
      <alignment horizontal="right" vertical="center"/>
    </xf>
    <xf numFmtId="0" fontId="82" fillId="0" borderId="0" xfId="0" applyFont="1"/>
    <xf numFmtId="1" fontId="111" fillId="0" borderId="14" xfId="0" applyNumberFormat="1" applyFont="1" applyFill="1" applyBorder="1" applyAlignment="1" applyProtection="1">
      <alignment horizontal="left" vertical="center"/>
    </xf>
    <xf numFmtId="0" fontId="27" fillId="0" borderId="73" xfId="0" applyFont="1" applyFill="1" applyBorder="1" applyAlignment="1" applyProtection="1">
      <alignment horizontal="center" vertical="center"/>
    </xf>
    <xf numFmtId="0" fontId="14" fillId="0" borderId="8" xfId="0" applyFont="1" applyBorder="1" applyAlignment="1" applyProtection="1">
      <alignment vertical="center"/>
    </xf>
    <xf numFmtId="0" fontId="84" fillId="0" borderId="0" xfId="0" applyFont="1" applyBorder="1" applyAlignment="1" applyProtection="1">
      <alignment vertical="center"/>
    </xf>
    <xf numFmtId="0" fontId="0" fillId="0" borderId="0" xfId="0" applyProtection="1"/>
    <xf numFmtId="0" fontId="14" fillId="0" borderId="0" xfId="0" applyFont="1" applyBorder="1" applyAlignment="1" applyProtection="1">
      <alignment horizontal="center" vertical="center"/>
    </xf>
    <xf numFmtId="184" fontId="14" fillId="0" borderId="11" xfId="0" applyNumberFormat="1" applyFont="1" applyBorder="1" applyAlignment="1" applyProtection="1">
      <alignment horizontal="left" vertical="center"/>
    </xf>
    <xf numFmtId="184" fontId="89" fillId="0" borderId="11" xfId="0" applyNumberFormat="1" applyFont="1" applyBorder="1" applyAlignment="1" applyProtection="1">
      <alignment horizontal="right"/>
    </xf>
    <xf numFmtId="0" fontId="0" fillId="0" borderId="2" xfId="0" applyBorder="1" applyProtection="1"/>
    <xf numFmtId="49" fontId="14" fillId="0" borderId="0" xfId="0" applyNumberFormat="1" applyFont="1" applyBorder="1" applyAlignment="1" applyProtection="1">
      <alignment vertical="center"/>
    </xf>
    <xf numFmtId="0" fontId="15" fillId="0" borderId="2" xfId="0" applyFont="1" applyBorder="1" applyAlignment="1" applyProtection="1">
      <alignment horizontal="right" vertical="center"/>
    </xf>
    <xf numFmtId="0" fontId="36" fillId="0" borderId="42" xfId="0" applyFont="1" applyBorder="1" applyAlignment="1" applyProtection="1">
      <alignment vertical="center"/>
    </xf>
    <xf numFmtId="0" fontId="26" fillId="0" borderId="2" xfId="0" applyFont="1" applyBorder="1" applyAlignment="1" applyProtection="1">
      <alignment horizontal="right" vertical="center"/>
    </xf>
    <xf numFmtId="195" fontId="33" fillId="0" borderId="24" xfId="0" applyNumberFormat="1" applyFont="1" applyBorder="1" applyAlignment="1" applyProtection="1">
      <alignment horizontal="left" vertical="center"/>
    </xf>
    <xf numFmtId="0" fontId="36" fillId="0" borderId="11" xfId="0" applyFont="1" applyBorder="1" applyAlignment="1" applyProtection="1">
      <alignment vertical="center"/>
    </xf>
    <xf numFmtId="0" fontId="33" fillId="0" borderId="0" xfId="0" applyFont="1" applyBorder="1" applyAlignment="1" applyProtection="1">
      <alignment horizontal="left" vertical="center"/>
    </xf>
    <xf numFmtId="0" fontId="33" fillId="0" borderId="11" xfId="0" applyFont="1" applyBorder="1" applyAlignment="1" applyProtection="1">
      <alignment horizontal="left" vertical="center"/>
    </xf>
    <xf numFmtId="0" fontId="69" fillId="0" borderId="24" xfId="0" applyFont="1" applyFill="1" applyBorder="1" applyAlignment="1" applyProtection="1">
      <alignment horizontal="center" vertical="center"/>
    </xf>
    <xf numFmtId="195" fontId="17" fillId="3" borderId="19" xfId="0" applyNumberFormat="1" applyFont="1" applyFill="1" applyBorder="1" applyAlignment="1" applyProtection="1">
      <alignment horizontal="left" vertical="center"/>
      <protection locked="0"/>
    </xf>
    <xf numFmtId="49" fontId="17" fillId="3" borderId="117" xfId="0" applyNumberFormat="1" applyFont="1" applyFill="1" applyBorder="1" applyAlignment="1" applyProtection="1">
      <alignment horizontal="left" vertical="center"/>
      <protection locked="0"/>
    </xf>
    <xf numFmtId="49" fontId="17" fillId="3" borderId="42" xfId="0" applyNumberFormat="1" applyFont="1" applyFill="1" applyBorder="1" applyAlignment="1" applyProtection="1">
      <alignment horizontal="left" vertical="center"/>
      <protection locked="0"/>
    </xf>
    <xf numFmtId="49" fontId="17" fillId="3" borderId="42" xfId="0" applyNumberFormat="1" applyFont="1" applyFill="1" applyBorder="1" applyAlignment="1" applyProtection="1">
      <alignment vertical="center"/>
      <protection locked="0"/>
    </xf>
    <xf numFmtId="49" fontId="17" fillId="3" borderId="19" xfId="0" applyNumberFormat="1" applyFont="1" applyFill="1" applyBorder="1" applyAlignment="1" applyProtection="1">
      <alignment horizontal="left" vertical="center"/>
      <protection locked="0"/>
    </xf>
    <xf numFmtId="49" fontId="17" fillId="3" borderId="30" xfId="0" applyNumberFormat="1" applyFont="1" applyFill="1" applyBorder="1" applyAlignment="1" applyProtection="1">
      <alignment horizontal="left" vertical="center"/>
      <protection locked="0"/>
    </xf>
    <xf numFmtId="186" fontId="17" fillId="3" borderId="19" xfId="0" applyNumberFormat="1" applyFont="1" applyFill="1" applyBorder="1" applyAlignment="1" applyProtection="1">
      <alignment horizontal="left" vertical="center"/>
      <protection locked="0"/>
    </xf>
    <xf numFmtId="186" fontId="17" fillId="3" borderId="30" xfId="0" applyNumberFormat="1" applyFont="1" applyFill="1" applyBorder="1" applyAlignment="1" applyProtection="1">
      <alignment horizontal="left" vertical="center"/>
      <protection locked="0"/>
    </xf>
    <xf numFmtId="182" fontId="100" fillId="3" borderId="2" xfId="13" applyNumberFormat="1" applyFont="1" applyFill="1" applyBorder="1" applyAlignment="1" applyProtection="1">
      <alignment vertical="center"/>
      <protection locked="0"/>
    </xf>
    <xf numFmtId="182" fontId="100" fillId="3" borderId="0" xfId="13" applyNumberFormat="1" applyFont="1" applyFill="1" applyBorder="1" applyAlignment="1" applyProtection="1">
      <alignment vertical="center"/>
      <protection locked="0"/>
    </xf>
    <xf numFmtId="0" fontId="94" fillId="3" borderId="0" xfId="13" applyFont="1" applyFill="1" applyBorder="1" applyAlignment="1" applyProtection="1">
      <alignment vertical="center"/>
      <protection locked="0"/>
    </xf>
    <xf numFmtId="0" fontId="101" fillId="3" borderId="0" xfId="13" applyFont="1" applyFill="1" applyBorder="1" applyAlignment="1" applyProtection="1">
      <alignment vertical="center"/>
      <protection locked="0"/>
    </xf>
    <xf numFmtId="182" fontId="94" fillId="3" borderId="0" xfId="13" applyNumberFormat="1" applyFont="1" applyFill="1" applyBorder="1" applyAlignment="1" applyProtection="1">
      <alignment vertical="center"/>
      <protection locked="0"/>
    </xf>
    <xf numFmtId="0" fontId="27" fillId="3" borderId="0" xfId="0" applyFont="1" applyFill="1" applyBorder="1" applyAlignment="1" applyProtection="1">
      <alignment horizontal="right" vertical="center"/>
      <protection locked="0"/>
    </xf>
    <xf numFmtId="0" fontId="15"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8" fontId="40" fillId="3" borderId="11" xfId="0" applyNumberFormat="1" applyFont="1" applyFill="1" applyBorder="1" applyAlignment="1" applyProtection="1">
      <alignment vertical="center"/>
      <protection locked="0"/>
    </xf>
    <xf numFmtId="182" fontId="6" fillId="3" borderId="2" xfId="13" applyNumberFormat="1" applyFont="1" applyFill="1" applyBorder="1" applyAlignment="1" applyProtection="1">
      <alignment horizontal="left" vertical="center"/>
      <protection locked="0"/>
    </xf>
    <xf numFmtId="182" fontId="100" fillId="3" borderId="0" xfId="13" applyNumberFormat="1" applyFont="1" applyFill="1" applyBorder="1" applyAlignment="1" applyProtection="1">
      <alignment horizontal="left" vertical="center"/>
      <protection locked="0"/>
    </xf>
    <xf numFmtId="182" fontId="100" fillId="3" borderId="2" xfId="13" applyNumberFormat="1" applyFont="1" applyFill="1" applyBorder="1" applyAlignment="1" applyProtection="1">
      <alignment horizontal="left" vertical="center"/>
      <protection locked="0"/>
    </xf>
    <xf numFmtId="0" fontId="64" fillId="3" borderId="2" xfId="13" applyFont="1" applyFill="1" applyBorder="1" applyAlignment="1" applyProtection="1">
      <alignment vertical="center"/>
      <protection locked="0"/>
    </xf>
    <xf numFmtId="182" fontId="102" fillId="3" borderId="0" xfId="13" applyNumberFormat="1" applyFont="1" applyFill="1" applyBorder="1" applyAlignment="1" applyProtection="1">
      <alignment horizontal="right" vertical="center"/>
      <protection locked="0"/>
    </xf>
    <xf numFmtId="9" fontId="94" fillId="3" borderId="13" xfId="13" applyNumberFormat="1" applyFont="1" applyFill="1" applyBorder="1" applyAlignment="1" applyProtection="1">
      <alignment vertical="center"/>
      <protection locked="0"/>
    </xf>
    <xf numFmtId="0" fontId="94" fillId="3" borderId="13" xfId="13"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39" fontId="94" fillId="3" borderId="0" xfId="13" applyNumberFormat="1" applyFont="1" applyFill="1" applyBorder="1" applyAlignment="1" applyProtection="1">
      <alignment vertical="center"/>
      <protection locked="0"/>
    </xf>
    <xf numFmtId="39" fontId="94" fillId="3" borderId="13" xfId="13" applyNumberFormat="1" applyFont="1" applyFill="1" applyBorder="1" applyAlignment="1" applyProtection="1">
      <alignment vertical="center"/>
      <protection locked="0"/>
    </xf>
    <xf numFmtId="182" fontId="100" fillId="3" borderId="7" xfId="13" applyNumberFormat="1" applyFont="1" applyFill="1" applyBorder="1" applyAlignment="1" applyProtection="1">
      <alignment vertical="center"/>
      <protection locked="0"/>
    </xf>
    <xf numFmtId="182" fontId="6" fillId="3" borderId="6" xfId="13" applyNumberFormat="1" applyFont="1" applyFill="1" applyBorder="1" applyAlignment="1" applyProtection="1">
      <alignment vertical="center"/>
      <protection locked="0"/>
    </xf>
    <xf numFmtId="0" fontId="5" fillId="3" borderId="6" xfId="13" applyFont="1" applyFill="1" applyBorder="1" applyAlignment="1" applyProtection="1">
      <alignment vertical="center"/>
      <protection locked="0"/>
    </xf>
    <xf numFmtId="182" fontId="5" fillId="3" borderId="6" xfId="13" applyNumberFormat="1" applyFont="1" applyFill="1" applyBorder="1" applyAlignment="1" applyProtection="1">
      <alignment vertical="center"/>
      <protection locked="0"/>
    </xf>
    <xf numFmtId="0" fontId="27" fillId="3" borderId="6" xfId="0" applyFont="1" applyFill="1" applyBorder="1" applyAlignment="1" applyProtection="1">
      <alignment horizontal="right" vertical="center"/>
      <protection locked="0"/>
    </xf>
    <xf numFmtId="0" fontId="15" fillId="3" borderId="6"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178" fontId="40" fillId="3" borderId="14" xfId="0" applyNumberFormat="1" applyFont="1" applyFill="1" applyBorder="1" applyAlignment="1" applyProtection="1">
      <alignment vertical="center"/>
      <protection locked="0"/>
    </xf>
    <xf numFmtId="182" fontId="102" fillId="3" borderId="2" xfId="13" applyNumberFormat="1" applyFont="1" applyFill="1" applyBorder="1" applyAlignment="1" applyProtection="1">
      <alignment vertical="center"/>
      <protection locked="0"/>
    </xf>
    <xf numFmtId="0" fontId="48" fillId="3" borderId="0" xfId="0" applyFont="1" applyFill="1" applyBorder="1" applyAlignment="1" applyProtection="1">
      <alignment vertical="center"/>
      <protection locked="0"/>
    </xf>
    <xf numFmtId="182" fontId="94" fillId="3" borderId="11" xfId="13" applyNumberFormat="1" applyFont="1" applyFill="1" applyBorder="1" applyAlignment="1" applyProtection="1">
      <alignment vertical="center"/>
      <protection locked="0"/>
    </xf>
    <xf numFmtId="182" fontId="6" fillId="3" borderId="2" xfId="13" applyNumberFormat="1" applyFont="1" applyFill="1" applyBorder="1" applyAlignment="1" applyProtection="1">
      <alignment horizontal="right" vertical="center"/>
      <protection locked="0"/>
    </xf>
    <xf numFmtId="0" fontId="94" fillId="3" borderId="11" xfId="13" applyFont="1" applyFill="1" applyBorder="1" applyAlignment="1" applyProtection="1">
      <alignment vertical="center"/>
      <protection locked="0"/>
    </xf>
    <xf numFmtId="0" fontId="15" fillId="3" borderId="0" xfId="0" applyFont="1" applyFill="1" applyBorder="1" applyAlignment="1" applyProtection="1">
      <alignment horizontal="center" vertical="center"/>
      <protection locked="0"/>
    </xf>
    <xf numFmtId="0" fontId="15" fillId="3" borderId="0" xfId="0" applyFont="1" applyFill="1" applyBorder="1" applyAlignment="1" applyProtection="1">
      <alignment horizontal="right" vertical="center"/>
      <protection locked="0"/>
    </xf>
    <xf numFmtId="0" fontId="48" fillId="3" borderId="0" xfId="0" applyFont="1" applyFill="1" applyBorder="1" applyAlignment="1" applyProtection="1">
      <alignment horizontal="center" vertical="center"/>
      <protection locked="0"/>
    </xf>
    <xf numFmtId="0" fontId="14" fillId="3" borderId="13" xfId="0" applyFont="1" applyFill="1" applyBorder="1" applyAlignment="1" applyProtection="1">
      <alignment vertical="center"/>
      <protection locked="0"/>
    </xf>
    <xf numFmtId="0" fontId="40" fillId="3" borderId="0" xfId="0" applyFont="1" applyFill="1" applyBorder="1" applyAlignment="1" applyProtection="1">
      <alignment vertical="center"/>
      <protection locked="0"/>
    </xf>
    <xf numFmtId="0" fontId="40" fillId="3" borderId="13" xfId="0" applyFont="1" applyFill="1" applyBorder="1" applyAlignment="1" applyProtection="1">
      <alignment horizontal="right" vertical="center"/>
      <protection locked="0"/>
    </xf>
    <xf numFmtId="39" fontId="94" fillId="3" borderId="11" xfId="13" applyNumberFormat="1" applyFont="1" applyFill="1" applyBorder="1" applyAlignment="1" applyProtection="1">
      <alignment vertical="center"/>
      <protection locked="0"/>
    </xf>
    <xf numFmtId="182" fontId="102" fillId="3" borderId="2" xfId="13" applyNumberFormat="1" applyFont="1" applyFill="1" applyBorder="1" applyAlignment="1" applyProtection="1">
      <alignment horizontal="left" vertical="center"/>
      <protection locked="0"/>
    </xf>
    <xf numFmtId="182" fontId="102" fillId="3" borderId="0" xfId="13" applyNumberFormat="1" applyFont="1" applyFill="1" applyBorder="1" applyAlignment="1" applyProtection="1">
      <alignment horizontal="left" vertical="center"/>
      <protection locked="0"/>
    </xf>
    <xf numFmtId="9" fontId="94" fillId="3" borderId="0" xfId="13" applyNumberFormat="1" applyFont="1" applyFill="1" applyBorder="1" applyAlignment="1" applyProtection="1">
      <alignment vertical="center"/>
      <protection locked="0"/>
    </xf>
    <xf numFmtId="0" fontId="48" fillId="3" borderId="0" xfId="0" applyFont="1" applyFill="1" applyBorder="1" applyAlignment="1" applyProtection="1">
      <alignment horizontal="right" vertical="center"/>
      <protection locked="0"/>
    </xf>
    <xf numFmtId="0" fontId="101" fillId="3" borderId="7" xfId="13" applyFont="1" applyFill="1" applyBorder="1" applyAlignment="1" applyProtection="1">
      <alignment horizontal="right" vertical="center"/>
      <protection locked="0"/>
    </xf>
    <xf numFmtId="0" fontId="7" fillId="4" borderId="125" xfId="0" applyFont="1" applyFill="1" applyBorder="1" applyAlignment="1" applyProtection="1">
      <alignment horizontal="center" vertical="top" wrapText="1"/>
    </xf>
    <xf numFmtId="0" fontId="25" fillId="3" borderId="19" xfId="0" applyFont="1" applyFill="1" applyBorder="1" applyAlignment="1" applyProtection="1">
      <alignment horizontal="center" vertical="center"/>
      <protection locked="0"/>
    </xf>
    <xf numFmtId="0" fontId="25" fillId="3" borderId="73" xfId="0" applyFont="1" applyFill="1" applyBorder="1" applyAlignment="1" applyProtection="1">
      <alignment horizontal="center" vertical="center"/>
      <protection locked="0"/>
    </xf>
    <xf numFmtId="0" fontId="7" fillId="0" borderId="36" xfId="0" applyFont="1" applyBorder="1" applyAlignment="1" applyProtection="1">
      <alignment horizontal="center" wrapText="1"/>
    </xf>
    <xf numFmtId="0" fontId="7" fillId="0" borderId="118" xfId="0" applyFont="1" applyBorder="1" applyAlignment="1" applyProtection="1">
      <alignment horizontal="center" wrapText="1"/>
    </xf>
    <xf numFmtId="0" fontId="7" fillId="0" borderId="101" xfId="0" applyFont="1" applyBorder="1" applyAlignment="1">
      <alignment horizontal="right" vertical="center"/>
    </xf>
    <xf numFmtId="0" fontId="22" fillId="0" borderId="44" xfId="0" applyFont="1" applyBorder="1" applyAlignment="1">
      <alignment horizontal="right" vertical="center"/>
    </xf>
    <xf numFmtId="0" fontId="7" fillId="0" borderId="70" xfId="0" applyFont="1" applyBorder="1" applyAlignment="1">
      <alignment horizontal="right" vertical="center"/>
    </xf>
    <xf numFmtId="0" fontId="101" fillId="3" borderId="34" xfId="13" applyFont="1" applyFill="1" applyBorder="1" applyAlignment="1" applyProtection="1">
      <alignment horizontal="right" vertical="center"/>
      <protection locked="0"/>
    </xf>
    <xf numFmtId="0" fontId="100" fillId="3" borderId="13" xfId="13" applyFont="1" applyFill="1" applyBorder="1" applyAlignment="1" applyProtection="1">
      <alignment horizontal="right" vertical="center"/>
      <protection locked="0"/>
    </xf>
    <xf numFmtId="0" fontId="48" fillId="3" borderId="13" xfId="0" applyFont="1" applyFill="1" applyBorder="1" applyAlignment="1" applyProtection="1">
      <alignment vertical="center"/>
      <protection locked="0"/>
    </xf>
    <xf numFmtId="0" fontId="48" fillId="3" borderId="13" xfId="0" applyFont="1" applyFill="1" applyBorder="1" applyAlignment="1" applyProtection="1">
      <alignment horizontal="right" vertical="center"/>
      <protection locked="0"/>
    </xf>
    <xf numFmtId="0" fontId="94" fillId="3" borderId="88" xfId="13" applyFont="1" applyFill="1" applyBorder="1" applyAlignment="1" applyProtection="1">
      <alignment vertical="center"/>
      <protection locked="0"/>
    </xf>
    <xf numFmtId="0" fontId="6" fillId="3" borderId="2" xfId="13" applyFont="1" applyFill="1" applyBorder="1" applyAlignment="1" applyProtection="1">
      <alignment horizontal="left" vertical="center"/>
      <protection locked="0"/>
    </xf>
    <xf numFmtId="0" fontId="66" fillId="10" borderId="71" xfId="0" applyFont="1" applyFill="1" applyBorder="1" applyAlignment="1" applyProtection="1">
      <alignment vertical="center"/>
    </xf>
    <xf numFmtId="0" fontId="14" fillId="10" borderId="60" xfId="0" applyFont="1" applyFill="1" applyBorder="1" applyAlignment="1" applyProtection="1">
      <alignment vertical="center"/>
    </xf>
    <xf numFmtId="0" fontId="14" fillId="10" borderId="119" xfId="0" applyFont="1" applyFill="1" applyBorder="1" applyAlignment="1" applyProtection="1">
      <alignment vertical="center"/>
    </xf>
    <xf numFmtId="178" fontId="19" fillId="3" borderId="24" xfId="1" applyNumberFormat="1" applyFont="1" applyFill="1" applyBorder="1" applyAlignment="1" applyProtection="1">
      <alignment vertical="center"/>
      <protection locked="0"/>
    </xf>
    <xf numFmtId="0" fontId="37" fillId="2" borderId="2" xfId="0" applyFont="1" applyFill="1" applyBorder="1" applyAlignment="1" applyProtection="1">
      <alignment horizontal="center" vertical="center"/>
    </xf>
    <xf numFmtId="0" fontId="98" fillId="0" borderId="0" xfId="0" applyFont="1" applyBorder="1" applyAlignment="1" applyProtection="1">
      <alignment horizontal="center" vertical="center"/>
    </xf>
    <xf numFmtId="178" fontId="7" fillId="11" borderId="6" xfId="0" applyNumberFormat="1" applyFont="1" applyFill="1" applyBorder="1" applyAlignment="1" applyProtection="1">
      <alignment horizontal="right" vertical="center"/>
      <protection locked="0"/>
    </xf>
    <xf numFmtId="178" fontId="4" fillId="11" borderId="11" xfId="0" applyNumberFormat="1" applyFont="1" applyFill="1" applyBorder="1" applyAlignment="1" applyProtection="1">
      <alignment horizontal="right" vertical="center"/>
    </xf>
    <xf numFmtId="170" fontId="4" fillId="0" borderId="126" xfId="0" applyNumberFormat="1" applyFont="1" applyBorder="1" applyAlignment="1" applyProtection="1">
      <alignment vertical="center"/>
    </xf>
    <xf numFmtId="170" fontId="4" fillId="0" borderId="127" xfId="0" applyNumberFormat="1" applyFont="1" applyBorder="1" applyAlignment="1" applyProtection="1">
      <alignment vertical="center"/>
    </xf>
    <xf numFmtId="170" fontId="4" fillId="0" borderId="128" xfId="0" applyNumberFormat="1" applyFont="1" applyBorder="1" applyAlignment="1" applyProtection="1">
      <alignment vertical="center"/>
    </xf>
    <xf numFmtId="170" fontId="4" fillId="0" borderId="129" xfId="0" applyNumberFormat="1" applyFont="1" applyBorder="1" applyAlignment="1" applyProtection="1">
      <alignment vertical="center"/>
    </xf>
    <xf numFmtId="170" fontId="4" fillId="0" borderId="55" xfId="0" applyNumberFormat="1" applyFont="1" applyFill="1" applyBorder="1" applyAlignment="1" applyProtection="1">
      <alignment horizontal="right" vertical="center"/>
    </xf>
    <xf numFmtId="170" fontId="4" fillId="0" borderId="15" xfId="0" applyNumberFormat="1" applyFont="1" applyFill="1" applyBorder="1" applyAlignment="1" applyProtection="1">
      <alignment horizontal="right" vertical="center"/>
    </xf>
    <xf numFmtId="170" fontId="4" fillId="0" borderId="126" xfId="0" applyNumberFormat="1" applyFont="1" applyFill="1" applyBorder="1" applyAlignment="1" applyProtection="1">
      <alignment horizontal="right" vertical="center"/>
    </xf>
    <xf numFmtId="170" fontId="4" fillId="0" borderId="130" xfId="0" applyNumberFormat="1" applyFont="1" applyFill="1" applyBorder="1" applyAlignment="1" applyProtection="1">
      <alignment horizontal="right" vertical="center"/>
    </xf>
    <xf numFmtId="170" fontId="4" fillId="0" borderId="131" xfId="0" applyNumberFormat="1" applyFont="1" applyFill="1" applyBorder="1" applyAlignment="1" applyProtection="1">
      <alignment horizontal="right" vertical="center"/>
    </xf>
    <xf numFmtId="170" fontId="16" fillId="0" borderId="55" xfId="0" applyNumberFormat="1" applyFont="1" applyFill="1" applyBorder="1" applyAlignment="1" applyProtection="1">
      <alignment horizontal="right" vertical="center"/>
    </xf>
    <xf numFmtId="170" fontId="4" fillId="0" borderId="117" xfId="0" applyNumberFormat="1" applyFont="1" applyFill="1" applyBorder="1" applyAlignment="1" applyProtection="1">
      <alignment horizontal="right" vertical="center"/>
    </xf>
    <xf numFmtId="170" fontId="4" fillId="0" borderId="117" xfId="0" applyNumberFormat="1" applyFont="1" applyBorder="1" applyAlignment="1" applyProtection="1">
      <alignment vertical="center"/>
    </xf>
    <xf numFmtId="170" fontId="4" fillId="0" borderId="42" xfId="0" applyNumberFormat="1" applyFont="1" applyBorder="1" applyAlignment="1" applyProtection="1">
      <alignment vertical="center"/>
    </xf>
    <xf numFmtId="170" fontId="4" fillId="0" borderId="132" xfId="0" applyNumberFormat="1" applyFont="1" applyBorder="1" applyAlignment="1" applyProtection="1">
      <alignment vertical="center"/>
    </xf>
    <xf numFmtId="170" fontId="4" fillId="0" borderId="55" xfId="0" applyNumberFormat="1" applyFont="1" applyBorder="1" applyAlignment="1" applyProtection="1">
      <alignment vertical="center"/>
    </xf>
    <xf numFmtId="170" fontId="16" fillId="0" borderId="11" xfId="0" applyNumberFormat="1" applyFont="1" applyBorder="1" applyAlignment="1" applyProtection="1">
      <alignment vertical="center"/>
    </xf>
    <xf numFmtId="170" fontId="16" fillId="0" borderId="133" xfId="0" applyNumberFormat="1" applyFont="1" applyBorder="1" applyAlignment="1" applyProtection="1">
      <alignment vertical="center"/>
    </xf>
    <xf numFmtId="170" fontId="17" fillId="0" borderId="14" xfId="0" applyNumberFormat="1" applyFont="1" applyBorder="1" applyAlignment="1" applyProtection="1">
      <alignment vertical="center"/>
    </xf>
    <xf numFmtId="170" fontId="47" fillId="0" borderId="14" xfId="0" applyNumberFormat="1" applyFont="1" applyBorder="1" applyAlignment="1" applyProtection="1">
      <alignment vertical="center"/>
    </xf>
    <xf numFmtId="170" fontId="17" fillId="0" borderId="133" xfId="0" applyNumberFormat="1" applyFont="1" applyBorder="1" applyAlignment="1" applyProtection="1">
      <alignment vertical="center"/>
    </xf>
    <xf numFmtId="170" fontId="16" fillId="0" borderId="68" xfId="0" applyNumberFormat="1" applyFont="1" applyBorder="1" applyAlignment="1" applyProtection="1">
      <alignment vertical="center"/>
    </xf>
    <xf numFmtId="170" fontId="47" fillId="0" borderId="133" xfId="0" applyNumberFormat="1" applyFont="1" applyBorder="1" applyAlignment="1" applyProtection="1">
      <alignment vertical="center"/>
    </xf>
    <xf numFmtId="170" fontId="17" fillId="0" borderId="59" xfId="0" applyNumberFormat="1" applyFont="1" applyBorder="1" applyAlignment="1" applyProtection="1">
      <alignment vertical="center"/>
    </xf>
    <xf numFmtId="170" fontId="17" fillId="0" borderId="11" xfId="0" applyNumberFormat="1" applyFont="1" applyBorder="1" applyAlignment="1" applyProtection="1">
      <alignment vertical="center"/>
    </xf>
    <xf numFmtId="170" fontId="46" fillId="0" borderId="119" xfId="0" applyNumberFormat="1" applyFont="1" applyFill="1" applyBorder="1" applyAlignment="1" applyProtection="1">
      <alignment vertical="center"/>
    </xf>
    <xf numFmtId="170" fontId="5" fillId="0" borderId="11" xfId="0" applyNumberFormat="1" applyFont="1" applyFill="1" applyBorder="1" applyAlignment="1" applyProtection="1">
      <alignment vertical="center"/>
    </xf>
    <xf numFmtId="170" fontId="6" fillId="0" borderId="134" xfId="0" applyNumberFormat="1" applyFont="1" applyFill="1" applyBorder="1" applyAlignment="1" applyProtection="1">
      <alignment vertical="center"/>
    </xf>
    <xf numFmtId="170" fontId="4" fillId="0" borderId="11" xfId="0" applyNumberFormat="1" applyFont="1" applyBorder="1" applyAlignment="1" applyProtection="1">
      <alignment vertical="center"/>
    </xf>
    <xf numFmtId="170" fontId="7" fillId="0" borderId="134" xfId="0" applyNumberFormat="1" applyFont="1" applyBorder="1" applyAlignment="1" applyProtection="1">
      <alignment vertical="center"/>
    </xf>
    <xf numFmtId="170" fontId="46" fillId="0" borderId="11" xfId="0" applyNumberFormat="1" applyFont="1" applyFill="1" applyBorder="1" applyAlignment="1" applyProtection="1">
      <alignment vertical="center"/>
    </xf>
    <xf numFmtId="170" fontId="22" fillId="0" borderId="88" xfId="0" applyNumberFormat="1" applyFont="1" applyFill="1" applyBorder="1" applyAlignment="1" applyProtection="1">
      <alignment vertical="center"/>
    </xf>
    <xf numFmtId="170" fontId="25" fillId="0" borderId="11" xfId="0" applyNumberFormat="1" applyFont="1" applyFill="1" applyBorder="1" applyAlignment="1" applyProtection="1">
      <alignment vertical="center"/>
    </xf>
    <xf numFmtId="170" fontId="5" fillId="0" borderId="10" xfId="0" applyNumberFormat="1" applyFont="1" applyFill="1" applyBorder="1" applyAlignment="1" applyProtection="1">
      <alignment vertical="center"/>
    </xf>
    <xf numFmtId="170" fontId="25" fillId="0" borderId="59" xfId="0" applyNumberFormat="1" applyFont="1" applyFill="1" applyBorder="1" applyAlignment="1" applyProtection="1">
      <alignment vertical="center"/>
    </xf>
    <xf numFmtId="170" fontId="4" fillId="0" borderId="68" xfId="0" applyNumberFormat="1" applyFont="1" applyFill="1" applyBorder="1" applyAlignment="1" applyProtection="1">
      <alignment horizontal="right" vertical="center"/>
    </xf>
    <xf numFmtId="170" fontId="4" fillId="0" borderId="11" xfId="0" applyNumberFormat="1" applyFont="1" applyFill="1" applyBorder="1" applyAlignment="1" applyProtection="1">
      <alignment horizontal="right" vertical="center"/>
    </xf>
    <xf numFmtId="170" fontId="5" fillId="0" borderId="11" xfId="0" applyNumberFormat="1" applyFont="1" applyFill="1" applyBorder="1" applyAlignment="1" applyProtection="1">
      <alignment horizontal="right" vertical="center"/>
    </xf>
    <xf numFmtId="170" fontId="14" fillId="0" borderId="11" xfId="0" applyNumberFormat="1" applyFont="1" applyBorder="1" applyAlignment="1" applyProtection="1">
      <alignment horizontal="right" vertical="center"/>
    </xf>
    <xf numFmtId="170" fontId="5" fillId="0" borderId="88" xfId="0" applyNumberFormat="1" applyFont="1" applyFill="1" applyBorder="1" applyAlignment="1" applyProtection="1">
      <alignment horizontal="right" vertical="center"/>
    </xf>
    <xf numFmtId="170" fontId="46" fillId="0" borderId="40" xfId="0" applyNumberFormat="1" applyFont="1" applyFill="1" applyBorder="1" applyAlignment="1" applyProtection="1">
      <alignment horizontal="right" vertical="center"/>
    </xf>
    <xf numFmtId="170" fontId="6" fillId="0" borderId="11" xfId="0" applyNumberFormat="1" applyFont="1" applyFill="1" applyBorder="1" applyAlignment="1" applyProtection="1">
      <alignment vertical="center"/>
    </xf>
    <xf numFmtId="170" fontId="4" fillId="0" borderId="68" xfId="0" applyNumberFormat="1" applyFont="1" applyBorder="1" applyAlignment="1" applyProtection="1">
      <alignment vertical="center"/>
    </xf>
    <xf numFmtId="170" fontId="17" fillId="0" borderId="11" xfId="0" applyNumberFormat="1" applyFont="1" applyFill="1" applyBorder="1" applyAlignment="1" applyProtection="1">
      <alignment vertical="center"/>
    </xf>
    <xf numFmtId="170" fontId="4" fillId="0" borderId="11" xfId="0" applyNumberFormat="1" applyFont="1" applyFill="1" applyBorder="1" applyAlignment="1" applyProtection="1">
      <alignment vertical="center"/>
    </xf>
    <xf numFmtId="170" fontId="5" fillId="0" borderId="133" xfId="0" applyNumberFormat="1" applyFont="1" applyFill="1" applyBorder="1" applyAlignment="1" applyProtection="1">
      <alignment vertical="center"/>
    </xf>
    <xf numFmtId="170" fontId="47" fillId="0" borderId="11" xfId="0" applyNumberFormat="1" applyFont="1" applyFill="1" applyBorder="1" applyAlignment="1" applyProtection="1">
      <alignment vertical="center"/>
    </xf>
    <xf numFmtId="170" fontId="17" fillId="0" borderId="14" xfId="0" applyNumberFormat="1" applyFont="1" applyFill="1" applyBorder="1" applyAlignment="1" applyProtection="1">
      <alignment vertical="center"/>
    </xf>
    <xf numFmtId="170" fontId="6" fillId="0" borderId="40" xfId="0" applyNumberFormat="1" applyFont="1" applyFill="1" applyBorder="1" applyAlignment="1" applyProtection="1">
      <alignment vertical="center"/>
    </xf>
    <xf numFmtId="170" fontId="7" fillId="0" borderId="11" xfId="0" applyNumberFormat="1" applyFont="1" applyFill="1" applyBorder="1" applyAlignment="1" applyProtection="1">
      <alignment vertical="center"/>
    </xf>
    <xf numFmtId="170" fontId="5" fillId="0" borderId="68" xfId="0" applyNumberFormat="1" applyFont="1" applyFill="1" applyBorder="1" applyAlignment="1" applyProtection="1">
      <alignment vertical="center"/>
    </xf>
    <xf numFmtId="170" fontId="41" fillId="0" borderId="11" xfId="0" applyNumberFormat="1" applyFont="1" applyFill="1" applyBorder="1" applyAlignment="1" applyProtection="1">
      <alignment vertical="center"/>
    </xf>
    <xf numFmtId="170" fontId="46" fillId="0" borderId="59" xfId="0" applyNumberFormat="1" applyFont="1" applyFill="1" applyBorder="1" applyAlignment="1" applyProtection="1">
      <alignment vertical="center"/>
    </xf>
    <xf numFmtId="170" fontId="7" fillId="0" borderId="134" xfId="0" applyNumberFormat="1" applyFont="1" applyFill="1" applyBorder="1" applyAlignment="1" applyProtection="1">
      <alignment vertical="center"/>
    </xf>
    <xf numFmtId="171" fontId="5" fillId="0" borderId="19" xfId="0" applyNumberFormat="1" applyFont="1" applyFill="1" applyBorder="1" applyAlignment="1" applyProtection="1">
      <alignment vertical="center"/>
    </xf>
    <xf numFmtId="171" fontId="5" fillId="0" borderId="42" xfId="0" applyNumberFormat="1" applyFont="1" applyFill="1" applyBorder="1" applyAlignment="1" applyProtection="1">
      <alignment vertical="center"/>
    </xf>
    <xf numFmtId="171" fontId="19" fillId="3" borderId="135" xfId="0" applyNumberFormat="1" applyFont="1" applyFill="1" applyBorder="1" applyAlignment="1" applyProtection="1">
      <alignment vertical="center"/>
      <protection locked="0"/>
    </xf>
    <xf numFmtId="171" fontId="5" fillId="3" borderId="14" xfId="0" applyNumberFormat="1" applyFont="1" applyFill="1" applyBorder="1" applyAlignment="1" applyProtection="1">
      <alignment vertical="center"/>
      <protection locked="0"/>
    </xf>
    <xf numFmtId="171" fontId="4" fillId="0" borderId="12" xfId="0" quotePrefix="1" applyNumberFormat="1" applyFont="1" applyFill="1" applyBorder="1" applyAlignment="1" applyProtection="1">
      <alignment vertical="center"/>
    </xf>
    <xf numFmtId="171" fontId="4" fillId="0" borderId="12" xfId="0" applyNumberFormat="1" applyFont="1" applyFill="1" applyBorder="1" applyAlignment="1" applyProtection="1">
      <alignment horizontal="center" vertical="center"/>
    </xf>
    <xf numFmtId="171" fontId="4" fillId="0" borderId="12" xfId="0" applyNumberFormat="1" applyFont="1" applyFill="1" applyBorder="1" applyAlignment="1" applyProtection="1">
      <alignment vertical="center"/>
    </xf>
    <xf numFmtId="171" fontId="4" fillId="0" borderId="32" xfId="0" applyNumberFormat="1" applyFont="1" applyFill="1" applyBorder="1" applyAlignment="1" applyProtection="1">
      <alignment vertical="center"/>
    </xf>
    <xf numFmtId="171" fontId="4" fillId="0" borderId="0" xfId="0" applyNumberFormat="1" applyFont="1" applyFill="1" applyBorder="1" applyAlignment="1" applyProtection="1">
      <alignment horizontal="center" vertical="center"/>
    </xf>
    <xf numFmtId="171" fontId="4" fillId="0" borderId="0"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1" fontId="5" fillId="0" borderId="0" xfId="0" applyNumberFormat="1" applyFont="1" applyFill="1" applyBorder="1" applyAlignment="1" applyProtection="1">
      <alignment horizontal="center" vertical="center"/>
    </xf>
    <xf numFmtId="171" fontId="5" fillId="0" borderId="32" xfId="0" applyNumberFormat="1" applyFont="1" applyFill="1" applyBorder="1" applyAlignment="1" applyProtection="1">
      <alignment vertical="center"/>
    </xf>
    <xf numFmtId="171" fontId="5" fillId="0" borderId="32" xfId="1" applyNumberFormat="1" applyFont="1" applyFill="1" applyBorder="1" applyAlignment="1" applyProtection="1">
      <alignment vertical="center"/>
    </xf>
    <xf numFmtId="171" fontId="5" fillId="0" borderId="0" xfId="1" applyNumberFormat="1" applyFont="1" applyFill="1" applyBorder="1" applyAlignment="1" applyProtection="1">
      <alignment vertical="center"/>
    </xf>
    <xf numFmtId="171" fontId="14" fillId="0" borderId="0" xfId="0" applyNumberFormat="1" applyFont="1" applyBorder="1" applyAlignment="1" applyProtection="1">
      <alignment vertical="center"/>
    </xf>
    <xf numFmtId="171" fontId="4" fillId="0" borderId="13" xfId="0" applyNumberFormat="1" applyFont="1" applyFill="1" applyBorder="1" applyAlignment="1" applyProtection="1">
      <alignment vertical="center"/>
    </xf>
    <xf numFmtId="171" fontId="5" fillId="0" borderId="4" xfId="0" applyNumberFormat="1" applyFont="1" applyFill="1" applyBorder="1" applyAlignment="1" applyProtection="1">
      <alignment vertical="center"/>
    </xf>
    <xf numFmtId="171" fontId="4" fillId="0" borderId="0" xfId="15" applyNumberFormat="1" applyFont="1" applyFill="1" applyBorder="1" applyAlignment="1" applyProtection="1">
      <alignment vertical="center"/>
    </xf>
    <xf numFmtId="171" fontId="4" fillId="0" borderId="32" xfId="0" applyNumberFormat="1" applyFont="1" applyBorder="1" applyAlignment="1" applyProtection="1">
      <alignment vertical="center"/>
    </xf>
    <xf numFmtId="171" fontId="4" fillId="0" borderId="0" xfId="0" applyNumberFormat="1" applyFont="1" applyBorder="1" applyAlignment="1" applyProtection="1">
      <alignment vertical="center"/>
    </xf>
    <xf numFmtId="171" fontId="6" fillId="0" borderId="4" xfId="0" applyNumberFormat="1" applyFont="1" applyFill="1" applyBorder="1" applyAlignment="1" applyProtection="1">
      <alignment horizontal="right" vertical="center"/>
    </xf>
    <xf numFmtId="171" fontId="6" fillId="0" borderId="12" xfId="0" applyNumberFormat="1" applyFont="1" applyFill="1" applyBorder="1" applyAlignment="1" applyProtection="1">
      <alignment horizontal="right" vertical="center"/>
    </xf>
    <xf numFmtId="171" fontId="5" fillId="0" borderId="0" xfId="0" applyNumberFormat="1" applyFont="1" applyFill="1" applyBorder="1" applyAlignment="1" applyProtection="1">
      <alignment horizontal="right" vertical="center"/>
    </xf>
    <xf numFmtId="171" fontId="46" fillId="0" borderId="6" xfId="0" applyNumberFormat="1" applyFont="1" applyFill="1" applyBorder="1" applyAlignment="1" applyProtection="1">
      <alignment horizontal="right" vertical="center"/>
    </xf>
    <xf numFmtId="171" fontId="5" fillId="0" borderId="12" xfId="0" applyNumberFormat="1" applyFont="1" applyFill="1" applyBorder="1" applyAlignment="1" applyProtection="1">
      <alignment vertical="center"/>
    </xf>
    <xf numFmtId="4" fontId="5" fillId="0" borderId="0" xfId="0" applyNumberFormat="1" applyFont="1" applyFill="1" applyBorder="1" applyAlignment="1" applyProtection="1">
      <alignment vertical="center"/>
    </xf>
    <xf numFmtId="170" fontId="4" fillId="0" borderId="18" xfId="0" applyNumberFormat="1" applyFont="1" applyFill="1" applyBorder="1" applyAlignment="1" applyProtection="1">
      <alignment horizontal="right" vertical="center"/>
    </xf>
    <xf numFmtId="170" fontId="4" fillId="0" borderId="45" xfId="0" applyNumberFormat="1" applyFont="1" applyFill="1" applyBorder="1" applyAlignment="1" applyProtection="1">
      <alignment horizontal="right" vertical="center"/>
    </xf>
    <xf numFmtId="170" fontId="4" fillId="0" borderId="136" xfId="0" applyNumberFormat="1" applyFont="1" applyFill="1" applyBorder="1" applyAlignment="1" applyProtection="1">
      <alignment horizontal="right" vertical="center"/>
    </xf>
    <xf numFmtId="170" fontId="17" fillId="12" borderId="137" xfId="0" applyNumberFormat="1" applyFont="1" applyFill="1" applyBorder="1" applyAlignment="1" applyProtection="1">
      <alignment horizontal="right" vertical="center"/>
    </xf>
    <xf numFmtId="170" fontId="7" fillId="12" borderId="68" xfId="0" applyNumberFormat="1" applyFont="1" applyFill="1" applyBorder="1" applyAlignment="1" applyProtection="1">
      <alignment horizontal="right" vertical="center"/>
    </xf>
    <xf numFmtId="170" fontId="4" fillId="0" borderId="11" xfId="0" applyNumberFormat="1" applyFont="1" applyBorder="1" applyAlignment="1" applyProtection="1">
      <alignment horizontal="right" vertical="center"/>
    </xf>
    <xf numFmtId="170" fontId="4" fillId="0" borderId="132" xfId="0" applyNumberFormat="1" applyFont="1" applyBorder="1" applyAlignment="1" applyProtection="1">
      <alignment horizontal="right" vertical="center"/>
    </xf>
    <xf numFmtId="170" fontId="17" fillId="12" borderId="138" xfId="0" applyNumberFormat="1" applyFont="1" applyFill="1" applyBorder="1" applyAlignment="1" applyProtection="1">
      <alignment horizontal="right" vertical="center"/>
    </xf>
    <xf numFmtId="170" fontId="7" fillId="12" borderId="74" xfId="0" applyNumberFormat="1" applyFont="1" applyFill="1" applyBorder="1" applyAlignment="1" applyProtection="1">
      <alignment horizontal="right" vertical="center"/>
    </xf>
    <xf numFmtId="170" fontId="16" fillId="3" borderId="127" xfId="0" applyNumberFormat="1" applyFont="1" applyFill="1" applyBorder="1" applyAlignment="1" applyProtection="1">
      <alignment horizontal="right" vertical="center"/>
    </xf>
    <xf numFmtId="170" fontId="16" fillId="3" borderId="126" xfId="0" applyNumberFormat="1" applyFont="1" applyFill="1" applyBorder="1" applyAlignment="1" applyProtection="1">
      <alignment horizontal="right" vertical="center"/>
    </xf>
    <xf numFmtId="170" fontId="16" fillId="3" borderId="128" xfId="0" applyNumberFormat="1" applyFont="1" applyFill="1" applyBorder="1" applyAlignment="1" applyProtection="1">
      <alignment horizontal="right" vertical="center"/>
    </xf>
    <xf numFmtId="170" fontId="17" fillId="0" borderId="117" xfId="0" applyNumberFormat="1" applyFont="1" applyBorder="1" applyAlignment="1" applyProtection="1">
      <alignment vertical="center"/>
    </xf>
    <xf numFmtId="170" fontId="17" fillId="0" borderId="139" xfId="0" applyNumberFormat="1" applyFont="1" applyBorder="1" applyAlignment="1" applyProtection="1">
      <alignment vertical="center"/>
    </xf>
    <xf numFmtId="170" fontId="4" fillId="0" borderId="10" xfId="0" applyNumberFormat="1" applyFont="1" applyFill="1" applyBorder="1" applyAlignment="1" applyProtection="1">
      <alignment vertical="center"/>
    </xf>
    <xf numFmtId="170" fontId="4" fillId="0" borderId="14" xfId="0" applyNumberFormat="1" applyFont="1" applyFill="1" applyBorder="1" applyAlignment="1" applyProtection="1">
      <alignment vertical="center"/>
    </xf>
    <xf numFmtId="170" fontId="14" fillId="0" borderId="11" xfId="0" applyNumberFormat="1" applyFont="1" applyBorder="1" applyAlignment="1" applyProtection="1">
      <alignment vertical="center"/>
    </xf>
    <xf numFmtId="170" fontId="47" fillId="0" borderId="40" xfId="0" applyNumberFormat="1" applyFont="1" applyFill="1" applyBorder="1" applyAlignment="1" applyProtection="1">
      <alignment vertical="center"/>
    </xf>
    <xf numFmtId="170" fontId="5" fillId="0" borderId="14" xfId="0" applyNumberFormat="1" applyFont="1" applyFill="1" applyBorder="1" applyAlignment="1" applyProtection="1">
      <alignment vertical="center"/>
    </xf>
    <xf numFmtId="170" fontId="43" fillId="0" borderId="119" xfId="0" applyNumberFormat="1" applyFont="1" applyBorder="1" applyAlignment="1" applyProtection="1">
      <alignment vertical="center"/>
    </xf>
    <xf numFmtId="170" fontId="19" fillId="3" borderId="49" xfId="0" applyNumberFormat="1" applyFont="1" applyFill="1" applyBorder="1" applyAlignment="1" applyProtection="1">
      <alignment vertical="center"/>
      <protection locked="0"/>
    </xf>
    <xf numFmtId="170" fontId="4" fillId="0" borderId="49" xfId="0" applyNumberFormat="1" applyFont="1" applyBorder="1" applyAlignment="1" applyProtection="1">
      <alignment vertical="center"/>
    </xf>
    <xf numFmtId="170" fontId="4" fillId="0" borderId="140" xfId="0" applyNumberFormat="1" applyFont="1" applyBorder="1" applyAlignment="1" applyProtection="1">
      <alignment vertical="center"/>
    </xf>
    <xf numFmtId="170" fontId="7" fillId="0" borderId="36" xfId="0" applyNumberFormat="1" applyFont="1" applyBorder="1" applyAlignment="1" applyProtection="1">
      <alignment vertical="center"/>
    </xf>
    <xf numFmtId="170" fontId="7" fillId="0" borderId="118" xfId="0" applyNumberFormat="1" applyFont="1" applyBorder="1" applyAlignment="1" applyProtection="1">
      <alignment vertical="center"/>
    </xf>
    <xf numFmtId="170" fontId="19" fillId="0" borderId="141" xfId="0" applyNumberFormat="1" applyFont="1" applyFill="1" applyBorder="1" applyAlignment="1" applyProtection="1">
      <alignment vertical="center"/>
    </xf>
    <xf numFmtId="170" fontId="4" fillId="0" borderId="141" xfId="0" applyNumberFormat="1" applyFont="1" applyFill="1" applyBorder="1" applyAlignment="1" applyProtection="1">
      <alignment vertical="center"/>
    </xf>
    <xf numFmtId="170" fontId="4" fillId="0" borderId="142" xfId="0" applyNumberFormat="1" applyFont="1" applyFill="1" applyBorder="1" applyAlignment="1" applyProtection="1">
      <alignment vertical="center"/>
    </xf>
    <xf numFmtId="170" fontId="19" fillId="3" borderId="143" xfId="0" applyNumberFormat="1" applyFont="1" applyFill="1" applyBorder="1" applyAlignment="1" applyProtection="1">
      <alignment vertical="center"/>
      <protection locked="0"/>
    </xf>
    <xf numFmtId="170" fontId="4" fillId="0" borderId="144" xfId="0" applyNumberFormat="1" applyFont="1" applyBorder="1" applyAlignment="1" applyProtection="1">
      <alignment vertical="center"/>
    </xf>
    <xf numFmtId="170" fontId="7" fillId="0" borderId="69" xfId="0" applyNumberFormat="1" applyFont="1" applyBorder="1" applyAlignment="1" applyProtection="1">
      <alignment vertical="center"/>
    </xf>
    <xf numFmtId="0" fontId="17" fillId="0" borderId="28" xfId="0" applyFont="1" applyBorder="1" applyAlignment="1">
      <alignment horizontal="center" vertical="center"/>
    </xf>
    <xf numFmtId="0" fontId="17" fillId="0" borderId="84" xfId="0" applyFont="1" applyBorder="1" applyAlignment="1">
      <alignment horizontal="center" vertical="center"/>
    </xf>
    <xf numFmtId="0" fontId="17" fillId="0" borderId="30" xfId="0" applyFont="1" applyBorder="1" applyAlignment="1">
      <alignment horizontal="center" vertical="center"/>
    </xf>
    <xf numFmtId="0" fontId="17" fillId="0" borderId="30" xfId="0" applyFont="1" applyBorder="1" applyAlignment="1">
      <alignment horizontal="center" vertical="center" wrapText="1"/>
    </xf>
    <xf numFmtId="0" fontId="17" fillId="0" borderId="117" xfId="0" applyFont="1" applyBorder="1" applyAlignment="1">
      <alignment horizontal="center" vertical="center" wrapText="1"/>
    </xf>
    <xf numFmtId="170" fontId="4" fillId="0" borderId="75" xfId="1" applyNumberFormat="1" applyFont="1" applyBorder="1" applyAlignment="1">
      <alignment vertical="center"/>
    </xf>
    <xf numFmtId="170" fontId="4" fillId="0" borderId="145" xfId="1" applyNumberFormat="1" applyFont="1" applyBorder="1" applyAlignment="1">
      <alignment vertical="center"/>
    </xf>
    <xf numFmtId="170" fontId="4" fillId="0" borderId="146" xfId="1" applyNumberFormat="1" applyFont="1" applyBorder="1" applyAlignment="1">
      <alignment vertical="center"/>
    </xf>
    <xf numFmtId="170" fontId="7" fillId="0" borderId="117" xfId="1" applyNumberFormat="1" applyFont="1" applyBorder="1" applyAlignment="1">
      <alignment vertical="center"/>
    </xf>
    <xf numFmtId="170" fontId="4" fillId="7" borderId="42" xfId="1" applyNumberFormat="1" applyFont="1" applyFill="1" applyBorder="1" applyAlignment="1">
      <alignment vertical="center"/>
    </xf>
    <xf numFmtId="170" fontId="4" fillId="0" borderId="60" xfId="0" applyNumberFormat="1" applyFont="1" applyBorder="1" applyAlignment="1">
      <alignment vertical="center"/>
    </xf>
    <xf numFmtId="170" fontId="4" fillId="0" borderId="18" xfId="0" applyNumberFormat="1" applyFont="1" applyBorder="1" applyAlignment="1">
      <alignment vertical="center"/>
    </xf>
    <xf numFmtId="170" fontId="17" fillId="0" borderId="117" xfId="0" applyNumberFormat="1" applyFont="1" applyBorder="1" applyAlignment="1">
      <alignment horizontal="center" vertical="center" wrapText="1"/>
    </xf>
    <xf numFmtId="170" fontId="4" fillId="0" borderId="60" xfId="1" applyNumberFormat="1" applyFont="1" applyBorder="1" applyAlignment="1">
      <alignment vertical="center"/>
    </xf>
    <xf numFmtId="170" fontId="72" fillId="7" borderId="42" xfId="1" applyNumberFormat="1" applyFont="1" applyFill="1" applyBorder="1" applyAlignment="1">
      <alignment vertical="center"/>
    </xf>
    <xf numFmtId="170" fontId="4" fillId="0" borderId="45" xfId="0" applyNumberFormat="1" applyFont="1" applyBorder="1" applyAlignment="1">
      <alignment vertical="center"/>
    </xf>
    <xf numFmtId="170" fontId="7" fillId="0" borderId="147" xfId="0" applyNumberFormat="1" applyFont="1" applyBorder="1" applyAlignment="1">
      <alignment vertical="center"/>
    </xf>
    <xf numFmtId="170" fontId="4" fillId="0" borderId="139" xfId="1" applyNumberFormat="1" applyFont="1" applyFill="1" applyBorder="1" applyAlignment="1">
      <alignment vertical="center"/>
    </xf>
    <xf numFmtId="171" fontId="20" fillId="3" borderId="24" xfId="0" applyNumberFormat="1" applyFont="1" applyFill="1" applyBorder="1" applyAlignment="1" applyProtection="1">
      <alignment vertical="center"/>
      <protection locked="0"/>
    </xf>
    <xf numFmtId="171" fontId="20" fillId="3" borderId="27" xfId="0" applyNumberFormat="1" applyFont="1" applyFill="1" applyBorder="1" applyAlignment="1" applyProtection="1">
      <alignment vertical="center"/>
      <protection locked="0"/>
    </xf>
    <xf numFmtId="171" fontId="20" fillId="3" borderId="62" xfId="0" applyNumberFormat="1" applyFont="1" applyFill="1" applyBorder="1" applyAlignment="1" applyProtection="1">
      <alignment vertical="center"/>
      <protection locked="0"/>
    </xf>
    <xf numFmtId="171" fontId="17" fillId="3" borderId="51" xfId="0" applyNumberFormat="1" applyFont="1" applyFill="1" applyBorder="1" applyAlignment="1">
      <alignment horizontal="right" vertical="center"/>
    </xf>
    <xf numFmtId="171" fontId="17" fillId="0" borderId="33" xfId="0" applyNumberFormat="1" applyFont="1" applyBorder="1" applyAlignment="1">
      <alignment horizontal="right" vertical="center"/>
    </xf>
    <xf numFmtId="171" fontId="7" fillId="0" borderId="0" xfId="0" applyNumberFormat="1" applyFont="1" applyBorder="1" applyAlignment="1">
      <alignment horizontal="right" vertical="center"/>
    </xf>
    <xf numFmtId="171" fontId="16" fillId="0" borderId="60" xfId="0" applyNumberFormat="1" applyFont="1" applyBorder="1" applyAlignment="1">
      <alignment vertical="center"/>
    </xf>
    <xf numFmtId="171" fontId="16" fillId="0" borderId="17" xfId="0" applyNumberFormat="1" applyFont="1" applyBorder="1" applyAlignment="1">
      <alignment vertical="center"/>
    </xf>
    <xf numFmtId="171" fontId="20" fillId="3" borderId="24" xfId="0" applyNumberFormat="1" applyFont="1" applyFill="1" applyBorder="1" applyProtection="1">
      <protection locked="0"/>
    </xf>
    <xf numFmtId="171" fontId="20" fillId="3" borderId="30" xfId="0" applyNumberFormat="1" applyFont="1" applyFill="1" applyBorder="1" applyAlignment="1" applyProtection="1">
      <alignment vertical="center"/>
      <protection locked="0"/>
    </xf>
    <xf numFmtId="171" fontId="17" fillId="0" borderId="60" xfId="0" applyNumberFormat="1" applyFont="1" applyBorder="1" applyAlignment="1">
      <alignment horizontal="right" vertical="center"/>
    </xf>
    <xf numFmtId="171" fontId="16" fillId="0" borderId="21" xfId="0" applyNumberFormat="1" applyFont="1" applyBorder="1" applyAlignment="1">
      <alignment vertical="center"/>
    </xf>
    <xf numFmtId="0" fontId="20" fillId="3" borderId="24" xfId="0" applyNumberFormat="1" applyFont="1" applyFill="1" applyBorder="1" applyAlignment="1" applyProtection="1">
      <alignment vertical="center"/>
      <protection locked="0"/>
    </xf>
    <xf numFmtId="0" fontId="20" fillId="3" borderId="27" xfId="0" applyNumberFormat="1" applyFont="1" applyFill="1" applyBorder="1" applyAlignment="1" applyProtection="1">
      <alignment vertical="center"/>
      <protection locked="0"/>
    </xf>
    <xf numFmtId="0" fontId="20" fillId="3" borderId="30" xfId="0" applyNumberFormat="1" applyFont="1" applyFill="1" applyBorder="1" applyAlignment="1" applyProtection="1">
      <alignment vertical="center"/>
      <protection locked="0"/>
    </xf>
    <xf numFmtId="0" fontId="17" fillId="0" borderId="32" xfId="0" applyNumberFormat="1" applyFont="1" applyBorder="1" applyAlignment="1">
      <alignment horizontal="right" vertical="center"/>
    </xf>
    <xf numFmtId="0" fontId="16" fillId="0" borderId="6" xfId="0" applyNumberFormat="1" applyFont="1" applyBorder="1" applyAlignment="1">
      <alignment vertical="center"/>
    </xf>
    <xf numFmtId="0" fontId="16" fillId="0" borderId="60" xfId="0" applyNumberFormat="1" applyFont="1" applyBorder="1" applyAlignment="1">
      <alignment vertical="center"/>
    </xf>
    <xf numFmtId="0" fontId="16" fillId="0" borderId="17" xfId="0" applyNumberFormat="1" applyFont="1" applyBorder="1" applyAlignment="1">
      <alignment vertical="center"/>
    </xf>
    <xf numFmtId="0" fontId="17" fillId="0" borderId="30" xfId="0" applyNumberFormat="1" applyFont="1" applyBorder="1" applyAlignment="1">
      <alignment horizontal="center" vertical="center"/>
    </xf>
    <xf numFmtId="0" fontId="20" fillId="3" borderId="24" xfId="0" applyNumberFormat="1" applyFont="1" applyFill="1" applyBorder="1" applyProtection="1">
      <protection locked="0"/>
    </xf>
    <xf numFmtId="0" fontId="17" fillId="0" borderId="6" xfId="0" applyNumberFormat="1" applyFont="1" applyBorder="1" applyAlignment="1">
      <alignment horizontal="right" vertical="center"/>
    </xf>
    <xf numFmtId="0" fontId="17" fillId="0" borderId="60" xfId="0" applyNumberFormat="1" applyFont="1" applyBorder="1" applyAlignment="1">
      <alignment horizontal="right" vertical="center"/>
    </xf>
    <xf numFmtId="0" fontId="17" fillId="0" borderId="13" xfId="0" applyNumberFormat="1" applyFont="1" applyBorder="1" applyAlignment="1">
      <alignment horizontal="right" vertical="center"/>
    </xf>
    <xf numFmtId="0" fontId="16" fillId="0" borderId="21" xfId="0" applyNumberFormat="1" applyFont="1" applyBorder="1" applyAlignment="1">
      <alignment vertical="center"/>
    </xf>
    <xf numFmtId="170" fontId="4" fillId="0" borderId="148" xfId="1" applyNumberFormat="1" applyFont="1" applyBorder="1" applyAlignment="1">
      <alignment vertical="center"/>
    </xf>
    <xf numFmtId="170" fontId="7" fillId="0" borderId="147" xfId="1" applyNumberFormat="1" applyFont="1" applyBorder="1" applyAlignment="1">
      <alignment vertical="center"/>
    </xf>
    <xf numFmtId="170" fontId="72" fillId="3" borderId="14" xfId="0" applyNumberFormat="1" applyFont="1" applyFill="1" applyBorder="1" applyAlignment="1">
      <alignment vertical="center"/>
    </xf>
    <xf numFmtId="170" fontId="4" fillId="0" borderId="88" xfId="0" applyNumberFormat="1" applyFont="1" applyBorder="1" applyAlignment="1">
      <alignment vertical="center"/>
    </xf>
    <xf numFmtId="170" fontId="4" fillId="0" borderId="11" xfId="0" applyNumberFormat="1" applyFont="1" applyBorder="1" applyAlignment="1">
      <alignment vertical="center"/>
    </xf>
    <xf numFmtId="170" fontId="4" fillId="0" borderId="149" xfId="0" applyNumberFormat="1" applyFont="1" applyBorder="1" applyAlignment="1">
      <alignment vertical="center"/>
    </xf>
    <xf numFmtId="170" fontId="4" fillId="0" borderId="40" xfId="0" applyNumberFormat="1" applyFont="1" applyBorder="1" applyAlignment="1">
      <alignment vertical="center"/>
    </xf>
    <xf numFmtId="170" fontId="19" fillId="3" borderId="75" xfId="1" applyNumberFormat="1" applyFont="1" applyFill="1" applyBorder="1" applyAlignment="1" applyProtection="1">
      <alignment vertical="center"/>
      <protection locked="0"/>
    </xf>
    <xf numFmtId="170" fontId="19" fillId="3" borderId="145" xfId="1" applyNumberFormat="1" applyFont="1" applyFill="1" applyBorder="1" applyAlignment="1" applyProtection="1">
      <alignment vertical="center"/>
      <protection locked="0"/>
    </xf>
    <xf numFmtId="170" fontId="19" fillId="3" borderId="148" xfId="1" applyNumberFormat="1" applyFont="1" applyFill="1" applyBorder="1" applyAlignment="1" applyProtection="1">
      <alignment vertical="center"/>
      <protection locked="0"/>
    </xf>
    <xf numFmtId="170" fontId="6" fillId="0" borderId="120" xfId="1" applyNumberFormat="1" applyFont="1" applyBorder="1" applyAlignment="1" applyProtection="1">
      <alignment vertical="center"/>
    </xf>
    <xf numFmtId="170" fontId="7" fillId="0" borderId="74" xfId="1" applyNumberFormat="1" applyFont="1" applyBorder="1" applyAlignment="1">
      <alignment vertical="center"/>
    </xf>
    <xf numFmtId="171" fontId="19" fillId="3" borderId="24" xfId="0" applyNumberFormat="1" applyFont="1" applyFill="1" applyBorder="1" applyProtection="1">
      <protection locked="0"/>
    </xf>
    <xf numFmtId="171" fontId="19" fillId="3" borderId="27" xfId="0" applyNumberFormat="1" applyFont="1" applyFill="1" applyBorder="1" applyAlignment="1" applyProtection="1">
      <alignment vertical="center"/>
      <protection locked="0"/>
    </xf>
    <xf numFmtId="171" fontId="19" fillId="3" borderId="62" xfId="0" applyNumberFormat="1" applyFont="1" applyFill="1" applyBorder="1" applyAlignment="1" applyProtection="1">
      <alignment vertical="center"/>
      <protection locked="0"/>
    </xf>
    <xf numFmtId="171" fontId="7" fillId="0" borderId="33" xfId="0" applyNumberFormat="1" applyFont="1" applyBorder="1" applyAlignment="1">
      <alignment horizontal="right" vertical="center"/>
    </xf>
    <xf numFmtId="171" fontId="7" fillId="0" borderId="6" xfId="0" applyNumberFormat="1" applyFont="1" applyBorder="1" applyAlignment="1">
      <alignment horizontal="right" vertical="center"/>
    </xf>
    <xf numFmtId="171" fontId="14" fillId="0" borderId="13" xfId="0" applyNumberFormat="1" applyFont="1" applyBorder="1" applyAlignment="1">
      <alignment vertical="center"/>
    </xf>
    <xf numFmtId="171" fontId="14" fillId="0" borderId="0" xfId="0" applyNumberFormat="1" applyFont="1" applyBorder="1" applyAlignment="1">
      <alignment vertical="center"/>
    </xf>
    <xf numFmtId="171" fontId="14" fillId="0" borderId="41" xfId="0" applyNumberFormat="1" applyFont="1" applyBorder="1" applyAlignment="1">
      <alignment vertical="center"/>
    </xf>
    <xf numFmtId="0" fontId="15" fillId="0" borderId="38" xfId="0" applyFont="1" applyBorder="1" applyAlignment="1">
      <alignment horizontal="center" vertical="center" wrapText="1"/>
    </xf>
    <xf numFmtId="0" fontId="15" fillId="0" borderId="1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2" xfId="0" applyFont="1" applyBorder="1" applyAlignment="1">
      <alignment horizontal="center" vertical="center" wrapText="1"/>
    </xf>
    <xf numFmtId="170" fontId="17" fillId="0" borderId="42" xfId="0" applyNumberFormat="1" applyFont="1" applyBorder="1" applyAlignment="1">
      <alignment horizontal="center" vertical="center" wrapText="1"/>
    </xf>
    <xf numFmtId="0" fontId="17" fillId="0" borderId="84" xfId="0" applyFont="1" applyBorder="1" applyAlignment="1">
      <alignment horizontal="center" vertical="center" wrapText="1"/>
    </xf>
    <xf numFmtId="0" fontId="17" fillId="0" borderId="38" xfId="0" applyFont="1" applyBorder="1" applyAlignment="1">
      <alignment horizontal="center" vertical="center"/>
    </xf>
    <xf numFmtId="0" fontId="17" fillId="0" borderId="19" xfId="0" applyFont="1" applyBorder="1" applyAlignment="1">
      <alignment horizontal="center" vertical="center"/>
    </xf>
    <xf numFmtId="0" fontId="17" fillId="0" borderId="19" xfId="0" applyNumberFormat="1" applyFont="1" applyBorder="1" applyAlignment="1">
      <alignment horizontal="center" vertical="center" wrapText="1"/>
    </xf>
    <xf numFmtId="0" fontId="19" fillId="3" borderId="24" xfId="0" applyNumberFormat="1" applyFont="1" applyFill="1" applyBorder="1" applyAlignment="1" applyProtection="1">
      <alignment vertical="center"/>
      <protection locked="0"/>
    </xf>
    <xf numFmtId="0" fontId="19" fillId="3" borderId="27" xfId="0" applyNumberFormat="1" applyFont="1" applyFill="1" applyBorder="1" applyAlignment="1" applyProtection="1">
      <alignment vertical="center"/>
      <protection locked="0"/>
    </xf>
    <xf numFmtId="0" fontId="19" fillId="3" borderId="62" xfId="0" applyNumberFormat="1" applyFont="1" applyFill="1" applyBorder="1" applyAlignment="1" applyProtection="1">
      <alignment vertical="center"/>
      <protection locked="0"/>
    </xf>
    <xf numFmtId="0" fontId="7" fillId="0" borderId="32" xfId="0" applyNumberFormat="1" applyFont="1" applyBorder="1" applyAlignment="1">
      <alignment horizontal="right" vertical="center"/>
    </xf>
    <xf numFmtId="0" fontId="7" fillId="0" borderId="33" xfId="0" applyNumberFormat="1" applyFont="1" applyBorder="1" applyAlignment="1">
      <alignment horizontal="right" vertical="center"/>
    </xf>
    <xf numFmtId="0" fontId="14" fillId="0" borderId="0" xfId="0" applyNumberFormat="1" applyFont="1" applyBorder="1" applyAlignment="1">
      <alignment vertical="center"/>
    </xf>
    <xf numFmtId="0" fontId="7" fillId="0" borderId="6" xfId="0" applyNumberFormat="1" applyFont="1" applyBorder="1" applyAlignment="1">
      <alignment horizontal="right" vertical="center"/>
    </xf>
    <xf numFmtId="0" fontId="14" fillId="0" borderId="32" xfId="0" applyNumberFormat="1" applyFont="1" applyBorder="1" applyAlignment="1">
      <alignment vertical="center"/>
    </xf>
    <xf numFmtId="170" fontId="4" fillId="0" borderId="125" xfId="1" applyNumberFormat="1" applyFont="1" applyBorder="1" applyAlignment="1">
      <alignment vertical="center"/>
    </xf>
    <xf numFmtId="170" fontId="14" fillId="0" borderId="45" xfId="0" applyNumberFormat="1" applyFont="1" applyBorder="1" applyAlignment="1">
      <alignment vertical="center"/>
    </xf>
    <xf numFmtId="170" fontId="14" fillId="0" borderId="40" xfId="0" applyNumberFormat="1" applyFont="1" applyBorder="1" applyAlignment="1">
      <alignment vertical="center"/>
    </xf>
    <xf numFmtId="170" fontId="14" fillId="0" borderId="45" xfId="0" applyNumberFormat="1" applyFont="1" applyBorder="1" applyAlignment="1">
      <alignment horizontal="left" vertical="center"/>
    </xf>
    <xf numFmtId="170" fontId="16" fillId="0" borderId="14" xfId="0" applyNumberFormat="1" applyFont="1" applyBorder="1" applyAlignment="1">
      <alignment vertical="center"/>
    </xf>
    <xf numFmtId="170" fontId="17" fillId="0" borderId="120" xfId="1" applyNumberFormat="1" applyFont="1" applyBorder="1" applyAlignment="1">
      <alignment vertical="center"/>
    </xf>
    <xf numFmtId="170" fontId="17" fillId="0" borderId="118" xfId="1" applyNumberFormat="1" applyFont="1" applyBorder="1" applyAlignment="1">
      <alignment vertical="center"/>
    </xf>
    <xf numFmtId="0" fontId="15" fillId="0" borderId="19" xfId="0" applyFont="1" applyBorder="1" applyAlignment="1">
      <alignment horizontal="center" vertical="center"/>
    </xf>
    <xf numFmtId="178" fontId="15" fillId="0" borderId="42" xfId="0" applyNumberFormat="1" applyFont="1" applyBorder="1" applyAlignment="1">
      <alignment horizontal="center" vertical="center" wrapText="1"/>
    </xf>
    <xf numFmtId="170" fontId="15" fillId="0" borderId="42" xfId="0" applyNumberFormat="1" applyFont="1" applyBorder="1" applyAlignment="1">
      <alignment horizontal="center" vertical="center" wrapText="1"/>
    </xf>
    <xf numFmtId="171" fontId="19" fillId="3" borderId="52" xfId="1" applyNumberFormat="1" applyFont="1" applyFill="1" applyBorder="1" applyProtection="1">
      <protection locked="0"/>
    </xf>
    <xf numFmtId="171" fontId="19" fillId="3" borderId="27" xfId="1" applyNumberFormat="1" applyFont="1" applyFill="1" applyBorder="1" applyAlignment="1" applyProtection="1">
      <alignment vertical="center"/>
      <protection locked="0"/>
    </xf>
    <xf numFmtId="171" fontId="19" fillId="3" borderId="62" xfId="1" applyNumberFormat="1" applyFont="1" applyFill="1" applyBorder="1" applyAlignment="1" applyProtection="1">
      <alignment vertical="center"/>
      <protection locked="0"/>
    </xf>
    <xf numFmtId="171" fontId="14" fillId="0" borderId="32" xfId="0" applyNumberFormat="1" applyFont="1" applyBorder="1" applyAlignment="1">
      <alignment vertical="center"/>
    </xf>
    <xf numFmtId="171" fontId="17" fillId="0" borderId="19" xfId="0" applyNumberFormat="1" applyFont="1" applyBorder="1" applyAlignment="1">
      <alignment horizontal="center" vertical="center"/>
    </xf>
    <xf numFmtId="171" fontId="19" fillId="3" borderId="24" xfId="1" applyNumberFormat="1" applyFont="1" applyFill="1" applyBorder="1" applyProtection="1">
      <protection locked="0"/>
    </xf>
    <xf numFmtId="171" fontId="14" fillId="0" borderId="21" xfId="0" applyNumberFormat="1" applyFont="1" applyBorder="1" applyAlignment="1">
      <alignment horizontal="left" vertical="center"/>
    </xf>
    <xf numFmtId="171" fontId="15" fillId="0" borderId="19" xfId="0" applyNumberFormat="1" applyFont="1" applyBorder="1" applyAlignment="1">
      <alignment horizontal="center" vertical="center" wrapText="1"/>
    </xf>
    <xf numFmtId="9" fontId="19" fillId="3" borderId="24" xfId="15" applyFont="1" applyFill="1" applyBorder="1" applyAlignment="1" applyProtection="1">
      <alignment vertical="center"/>
      <protection locked="0"/>
    </xf>
    <xf numFmtId="9" fontId="19" fillId="3" borderId="27" xfId="15" applyFont="1" applyFill="1" applyBorder="1" applyAlignment="1" applyProtection="1">
      <alignment vertical="center"/>
      <protection locked="0"/>
    </xf>
    <xf numFmtId="9" fontId="19" fillId="3" borderId="52" xfId="15" applyFont="1" applyFill="1" applyBorder="1" applyAlignment="1" applyProtection="1">
      <alignment vertical="center"/>
      <protection locked="0"/>
    </xf>
    <xf numFmtId="171" fontId="19" fillId="3" borderId="24" xfId="1" applyNumberFormat="1" applyFont="1" applyFill="1" applyBorder="1" applyAlignment="1" applyProtection="1">
      <alignment vertical="center"/>
      <protection locked="0"/>
    </xf>
    <xf numFmtId="171" fontId="19" fillId="3" borderId="52" xfId="1" applyNumberFormat="1" applyFont="1" applyFill="1" applyBorder="1" applyAlignment="1" applyProtection="1">
      <alignment vertical="center"/>
      <protection locked="0"/>
    </xf>
    <xf numFmtId="0" fontId="17" fillId="0" borderId="101" xfId="0" applyFont="1" applyBorder="1" applyAlignment="1">
      <alignment horizontal="center" vertical="center" wrapText="1"/>
    </xf>
    <xf numFmtId="170" fontId="7" fillId="0" borderId="15" xfId="1" applyNumberFormat="1" applyFont="1" applyBorder="1" applyAlignment="1">
      <alignment vertical="center"/>
    </xf>
    <xf numFmtId="170" fontId="72" fillId="7" borderId="117" xfId="1" applyNumberFormat="1" applyFont="1" applyFill="1" applyBorder="1" applyAlignment="1">
      <alignment vertical="center"/>
    </xf>
    <xf numFmtId="170" fontId="4" fillId="0" borderId="75" xfId="1" applyNumberFormat="1" applyFont="1" applyFill="1" applyBorder="1" applyAlignment="1">
      <alignment vertical="center"/>
    </xf>
    <xf numFmtId="170" fontId="4" fillId="0" borderId="145" xfId="1" applyNumberFormat="1" applyFont="1" applyFill="1" applyBorder="1" applyAlignment="1">
      <alignment vertical="center"/>
    </xf>
    <xf numFmtId="170" fontId="4" fillId="0" borderId="146" xfId="1" applyNumberFormat="1" applyFont="1" applyFill="1" applyBorder="1" applyAlignment="1">
      <alignment vertical="center"/>
    </xf>
    <xf numFmtId="170" fontId="5" fillId="0" borderId="144" xfId="1" applyNumberFormat="1" applyFont="1" applyBorder="1" applyAlignment="1" applyProtection="1">
      <alignment vertical="center"/>
    </xf>
    <xf numFmtId="170" fontId="5" fillId="0" borderId="145" xfId="1" applyNumberFormat="1" applyFont="1" applyBorder="1" applyAlignment="1" applyProtection="1">
      <alignment vertical="center"/>
    </xf>
    <xf numFmtId="170" fontId="5" fillId="0" borderId="150" xfId="1" applyNumberFormat="1" applyFont="1" applyBorder="1" applyAlignment="1" applyProtection="1">
      <alignment vertical="center"/>
    </xf>
    <xf numFmtId="170" fontId="7" fillId="0" borderId="15" xfId="1" applyNumberFormat="1" applyFont="1" applyBorder="1" applyAlignment="1" applyProtection="1">
      <alignment vertical="center"/>
    </xf>
    <xf numFmtId="170" fontId="5" fillId="0" borderId="75" xfId="1" applyNumberFormat="1" applyFont="1" applyBorder="1" applyAlignment="1" applyProtection="1">
      <alignment vertical="center"/>
    </xf>
    <xf numFmtId="170" fontId="5" fillId="0" borderId="146" xfId="1" applyNumberFormat="1" applyFont="1" applyBorder="1" applyAlignment="1" applyProtection="1">
      <alignment vertical="center"/>
    </xf>
    <xf numFmtId="170" fontId="7" fillId="0" borderId="14" xfId="0" applyNumberFormat="1" applyFont="1" applyBorder="1" applyAlignment="1">
      <alignment vertical="center"/>
    </xf>
    <xf numFmtId="170" fontId="46" fillId="0" borderId="151" xfId="1" applyNumberFormat="1" applyFont="1" applyBorder="1" applyAlignment="1" applyProtection="1">
      <alignment vertical="center"/>
    </xf>
    <xf numFmtId="170" fontId="46" fillId="0" borderId="74" xfId="1" applyNumberFormat="1" applyFont="1" applyBorder="1" applyAlignment="1" applyProtection="1">
      <alignment vertical="center"/>
    </xf>
    <xf numFmtId="0" fontId="17" fillId="0" borderId="21" xfId="0" applyFont="1" applyBorder="1" applyAlignment="1">
      <alignment horizontal="center" vertical="center" wrapText="1"/>
    </xf>
    <xf numFmtId="0" fontId="46" fillId="0" borderId="101" xfId="0" applyFont="1" applyBorder="1" applyAlignment="1" applyProtection="1">
      <alignment horizontal="center" vertical="center" wrapText="1"/>
    </xf>
    <xf numFmtId="171" fontId="17" fillId="0" borderId="19" xfId="0" applyNumberFormat="1" applyFont="1" applyBorder="1" applyAlignment="1">
      <alignment horizontal="center" vertical="center" wrapText="1"/>
    </xf>
    <xf numFmtId="170" fontId="19" fillId="3" borderId="140" xfId="1" applyNumberFormat="1" applyFont="1" applyFill="1" applyBorder="1" applyAlignment="1" applyProtection="1">
      <alignment vertical="center"/>
      <protection locked="0"/>
    </xf>
    <xf numFmtId="170" fontId="19" fillId="3" borderId="150" xfId="1" applyNumberFormat="1" applyFont="1" applyFill="1" applyBorder="1" applyAlignment="1" applyProtection="1">
      <alignment vertical="center"/>
      <protection locked="0"/>
    </xf>
    <xf numFmtId="170" fontId="22" fillId="0" borderId="125" xfId="1" applyNumberFormat="1" applyFont="1" applyBorder="1" applyAlignment="1">
      <alignment vertical="center"/>
    </xf>
    <xf numFmtId="170" fontId="7" fillId="0" borderId="142" xfId="1" applyNumberFormat="1" applyFont="1" applyBorder="1" applyAlignment="1">
      <alignment vertical="center"/>
    </xf>
    <xf numFmtId="0" fontId="14" fillId="0" borderId="152" xfId="0" applyFont="1" applyBorder="1" applyAlignment="1">
      <alignment horizontal="right" vertical="center"/>
    </xf>
    <xf numFmtId="0" fontId="16" fillId="0" borderId="153" xfId="0" applyFont="1" applyFill="1" applyBorder="1" applyAlignment="1" applyProtection="1">
      <alignment horizontal="right" vertical="center"/>
    </xf>
    <xf numFmtId="49" fontId="14" fillId="0" borderId="11" xfId="0" applyNumberFormat="1" applyFont="1" applyBorder="1" applyAlignment="1" applyProtection="1">
      <alignment horizontal="left" vertical="center"/>
    </xf>
    <xf numFmtId="49" fontId="16" fillId="0" borderId="11" xfId="0" applyNumberFormat="1" applyFont="1" applyFill="1" applyBorder="1" applyAlignment="1" applyProtection="1">
      <alignment horizontal="left" vertical="center"/>
    </xf>
    <xf numFmtId="49" fontId="17" fillId="9" borderId="121" xfId="0" applyNumberFormat="1" applyFont="1" applyFill="1" applyBorder="1" applyAlignment="1" applyProtection="1">
      <alignment horizontal="center" vertical="center"/>
      <protection locked="0"/>
    </xf>
    <xf numFmtId="192" fontId="17" fillId="3" borderId="19" xfId="0" applyNumberFormat="1" applyFont="1" applyFill="1" applyBorder="1" applyAlignment="1" applyProtection="1">
      <alignment horizontal="center" vertical="center"/>
      <protection locked="0"/>
    </xf>
    <xf numFmtId="195" fontId="17" fillId="3" borderId="19" xfId="0" applyNumberFormat="1" applyFont="1" applyFill="1" applyBorder="1" applyAlignment="1" applyProtection="1">
      <alignment horizontal="center" vertical="center"/>
      <protection locked="0"/>
    </xf>
    <xf numFmtId="49" fontId="17" fillId="3" borderId="24" xfId="0" applyNumberFormat="1" applyFont="1" applyFill="1" applyBorder="1" applyAlignment="1" applyProtection="1">
      <alignment horizontal="center" vertical="center"/>
      <protection locked="0"/>
    </xf>
    <xf numFmtId="0" fontId="25" fillId="0" borderId="154" xfId="0" applyFont="1" applyFill="1" applyBorder="1" applyAlignment="1" applyProtection="1">
      <alignment horizontal="right" vertical="center"/>
    </xf>
    <xf numFmtId="0" fontId="27" fillId="3" borderId="53"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xf>
    <xf numFmtId="1" fontId="113" fillId="3" borderId="19" xfId="0" applyNumberFormat="1" applyFont="1" applyFill="1" applyBorder="1" applyAlignment="1" applyProtection="1">
      <alignment horizontal="center" vertical="center"/>
      <protection locked="0"/>
    </xf>
    <xf numFmtId="0" fontId="27" fillId="0" borderId="19" xfId="0" applyFont="1" applyBorder="1" applyAlignment="1">
      <alignment horizontal="right" vertical="center"/>
    </xf>
    <xf numFmtId="170" fontId="27" fillId="3" borderId="42" xfId="0" applyNumberFormat="1" applyFont="1" applyFill="1" applyBorder="1" applyAlignment="1" applyProtection="1">
      <alignment vertical="center"/>
      <protection locked="0"/>
    </xf>
    <xf numFmtId="0" fontId="4" fillId="0" borderId="153" xfId="0" applyFont="1" applyFill="1" applyBorder="1" applyAlignment="1" applyProtection="1">
      <alignment horizontal="right" vertical="center"/>
    </xf>
    <xf numFmtId="0" fontId="116" fillId="0" borderId="154" xfId="0" applyFont="1" applyFill="1" applyBorder="1" applyAlignment="1" applyProtection="1">
      <alignment horizontal="right" vertical="center"/>
    </xf>
    <xf numFmtId="9" fontId="27" fillId="3" borderId="19" xfId="0" applyNumberFormat="1" applyFont="1" applyFill="1" applyBorder="1" applyAlignment="1" applyProtection="1">
      <alignment horizontal="center" vertical="center"/>
      <protection locked="0"/>
    </xf>
    <xf numFmtId="0" fontId="117" fillId="0" borderId="0" xfId="0" applyFont="1" applyFill="1"/>
    <xf numFmtId="0" fontId="22" fillId="0" borderId="155" xfId="0" applyFont="1" applyFill="1" applyBorder="1" applyAlignment="1"/>
    <xf numFmtId="0" fontId="22" fillId="0" borderId="156" xfId="0" applyFont="1" applyFill="1" applyBorder="1" applyAlignment="1"/>
    <xf numFmtId="0" fontId="22" fillId="0" borderId="156" xfId="0" applyFont="1" applyFill="1" applyBorder="1" applyAlignment="1" applyProtection="1">
      <alignment wrapText="1"/>
    </xf>
    <xf numFmtId="0" fontId="22" fillId="0" borderId="156" xfId="0" applyFont="1" applyFill="1" applyBorder="1" applyAlignment="1" applyProtection="1"/>
    <xf numFmtId="0" fontId="22" fillId="0" borderId="156" xfId="0" applyFont="1" applyFill="1" applyBorder="1" applyAlignment="1" applyProtection="1">
      <alignment horizontal="center" wrapText="1"/>
    </xf>
    <xf numFmtId="0" fontId="22" fillId="0" borderId="122" xfId="0" applyFont="1" applyFill="1" applyBorder="1" applyAlignment="1">
      <alignment horizontal="center"/>
    </xf>
    <xf numFmtId="0" fontId="72" fillId="0" borderId="157" xfId="0" applyFont="1" applyFill="1" applyBorder="1" applyAlignment="1">
      <alignment vertical="center"/>
    </xf>
    <xf numFmtId="0" fontId="72" fillId="0" borderId="19" xfId="0" applyFont="1" applyFill="1" applyBorder="1" applyAlignment="1">
      <alignment horizontal="left" vertical="center" wrapText="1"/>
    </xf>
    <xf numFmtId="9" fontId="72" fillId="0" borderId="19" xfId="15" applyFont="1" applyFill="1" applyBorder="1" applyAlignment="1">
      <alignment horizontal="center" vertical="center" wrapText="1"/>
    </xf>
    <xf numFmtId="0" fontId="72" fillId="0" borderId="19" xfId="0" applyFont="1" applyFill="1" applyBorder="1" applyAlignment="1">
      <alignment vertical="center"/>
    </xf>
    <xf numFmtId="9" fontId="72" fillId="0" borderId="19" xfId="15" applyFont="1" applyFill="1" applyBorder="1" applyAlignment="1">
      <alignment vertical="center"/>
    </xf>
    <xf numFmtId="10" fontId="72" fillId="0" borderId="124" xfId="0" applyNumberFormat="1" applyFont="1" applyFill="1" applyBorder="1" applyAlignment="1">
      <alignment vertical="center"/>
    </xf>
    <xf numFmtId="0" fontId="72" fillId="0" borderId="158" xfId="0" applyFont="1" applyFill="1" applyBorder="1" applyAlignment="1">
      <alignment vertical="center"/>
    </xf>
    <xf numFmtId="0" fontId="72" fillId="0" borderId="159" xfId="0" applyFont="1" applyFill="1" applyBorder="1" applyAlignment="1">
      <alignment horizontal="left" vertical="center" wrapText="1"/>
    </xf>
    <xf numFmtId="9" fontId="72" fillId="0" borderId="159" xfId="15" applyFont="1" applyFill="1" applyBorder="1" applyAlignment="1">
      <alignment horizontal="center" vertical="center" wrapText="1"/>
    </xf>
    <xf numFmtId="0" fontId="72" fillId="0" borderId="159" xfId="0" applyFont="1" applyFill="1" applyBorder="1" applyAlignment="1">
      <alignment vertical="center"/>
    </xf>
    <xf numFmtId="9" fontId="72" fillId="0" borderId="159" xfId="15" applyFont="1" applyFill="1" applyBorder="1" applyAlignment="1">
      <alignment vertical="center"/>
    </xf>
    <xf numFmtId="10" fontId="72" fillId="0" borderId="160" xfId="0" applyNumberFormat="1" applyFont="1" applyFill="1" applyBorder="1" applyAlignment="1">
      <alignment vertical="center"/>
    </xf>
    <xf numFmtId="170" fontId="16" fillId="3" borderId="30" xfId="0" applyNumberFormat="1" applyFont="1" applyFill="1" applyBorder="1" applyAlignment="1" applyProtection="1">
      <alignment horizontal="right" vertical="center"/>
      <protection locked="0"/>
    </xf>
    <xf numFmtId="170" fontId="16" fillId="3" borderId="19" xfId="0" applyNumberFormat="1" applyFont="1" applyFill="1" applyBorder="1" applyAlignment="1" applyProtection="1">
      <alignment horizontal="right" vertical="center"/>
      <protection locked="0"/>
    </xf>
    <xf numFmtId="170" fontId="20" fillId="0" borderId="55" xfId="0" applyNumberFormat="1" applyFont="1" applyFill="1" applyBorder="1" applyAlignment="1" applyProtection="1">
      <alignment horizontal="right" vertical="center"/>
    </xf>
    <xf numFmtId="170" fontId="16" fillId="12" borderId="125" xfId="0" applyNumberFormat="1" applyFont="1" applyFill="1" applyBorder="1" applyAlignment="1" applyProtection="1">
      <alignment horizontal="right" vertical="center"/>
    </xf>
    <xf numFmtId="170" fontId="4" fillId="3" borderId="15" xfId="0" applyNumberFormat="1" applyFont="1" applyFill="1" applyBorder="1" applyAlignment="1" applyProtection="1">
      <alignment horizontal="right" vertical="center"/>
      <protection locked="0"/>
    </xf>
    <xf numFmtId="170" fontId="16" fillId="3" borderId="39" xfId="0" applyNumberFormat="1" applyFont="1" applyFill="1" applyBorder="1" applyAlignment="1" applyProtection="1">
      <alignment horizontal="right" vertical="center"/>
      <protection locked="0"/>
    </xf>
    <xf numFmtId="170" fontId="16" fillId="3" borderId="161" xfId="0" applyNumberFormat="1" applyFont="1" applyFill="1" applyBorder="1" applyAlignment="1" applyProtection="1">
      <alignment horizontal="right" vertical="center"/>
      <protection locked="0"/>
    </xf>
    <xf numFmtId="170" fontId="20" fillId="0" borderId="128" xfId="0" applyNumberFormat="1" applyFont="1" applyFill="1" applyBorder="1" applyAlignment="1" applyProtection="1">
      <alignment vertical="center"/>
    </xf>
    <xf numFmtId="170" fontId="16" fillId="12" borderId="129" xfId="0" applyNumberFormat="1" applyFont="1" applyFill="1" applyBorder="1" applyAlignment="1" applyProtection="1">
      <alignment vertical="center"/>
    </xf>
    <xf numFmtId="170" fontId="4" fillId="12" borderId="129" xfId="0" applyNumberFormat="1" applyFont="1" applyFill="1" applyBorder="1" applyAlignment="1" applyProtection="1">
      <alignment vertical="center"/>
    </xf>
    <xf numFmtId="170" fontId="16" fillId="3" borderId="137" xfId="0" applyNumberFormat="1" applyFont="1" applyFill="1" applyBorder="1" applyAlignment="1" applyProtection="1">
      <alignment horizontal="right" vertical="center"/>
      <protection locked="0"/>
    </xf>
    <xf numFmtId="170" fontId="4" fillId="0" borderId="138" xfId="0" applyNumberFormat="1" applyFont="1" applyBorder="1" applyAlignment="1" applyProtection="1">
      <alignment vertical="center"/>
    </xf>
    <xf numFmtId="0" fontId="14" fillId="0" borderId="152" xfId="0" applyFont="1" applyBorder="1" applyAlignment="1" applyProtection="1">
      <alignment horizontal="right" vertical="center"/>
    </xf>
    <xf numFmtId="170" fontId="16" fillId="3" borderId="30" xfId="0" applyNumberFormat="1" applyFont="1" applyFill="1" applyBorder="1" applyAlignment="1" applyProtection="1">
      <alignment horizontal="right" vertical="center"/>
    </xf>
    <xf numFmtId="170" fontId="16" fillId="3" borderId="19" xfId="0" applyNumberFormat="1" applyFont="1" applyFill="1" applyBorder="1" applyAlignment="1" applyProtection="1">
      <alignment horizontal="right" vertical="center"/>
    </xf>
    <xf numFmtId="170" fontId="4" fillId="3" borderId="125" xfId="0" applyNumberFormat="1" applyFont="1" applyFill="1" applyBorder="1" applyAlignment="1" applyProtection="1">
      <alignment horizontal="right" vertical="center"/>
    </xf>
    <xf numFmtId="170" fontId="4" fillId="3" borderId="15" xfId="0" applyNumberFormat="1" applyFont="1" applyFill="1" applyBorder="1" applyAlignment="1" applyProtection="1">
      <alignment horizontal="right" vertical="center"/>
    </xf>
    <xf numFmtId="170" fontId="16" fillId="3" borderId="39" xfId="0" applyNumberFormat="1" applyFont="1" applyFill="1" applyBorder="1" applyAlignment="1" applyProtection="1">
      <alignment horizontal="right" vertical="center"/>
    </xf>
    <xf numFmtId="170" fontId="16" fillId="3" borderId="161" xfId="0" applyNumberFormat="1" applyFont="1" applyFill="1" applyBorder="1" applyAlignment="1" applyProtection="1">
      <alignment horizontal="right" vertical="center"/>
    </xf>
    <xf numFmtId="170" fontId="4" fillId="12" borderId="55" xfId="0" applyNumberFormat="1" applyFont="1" applyFill="1" applyBorder="1" applyAlignment="1" applyProtection="1">
      <alignment vertical="center"/>
    </xf>
    <xf numFmtId="170" fontId="16" fillId="3" borderId="137" xfId="0" applyNumberFormat="1" applyFont="1" applyFill="1" applyBorder="1" applyAlignment="1" applyProtection="1">
      <alignment horizontal="right" vertical="center"/>
    </xf>
    <xf numFmtId="170" fontId="4" fillId="0" borderId="74" xfId="0" applyNumberFormat="1" applyFont="1" applyBorder="1" applyAlignment="1" applyProtection="1">
      <alignment vertical="center"/>
    </xf>
    <xf numFmtId="0" fontId="98" fillId="0" borderId="0" xfId="0" applyFont="1" applyBorder="1" applyAlignment="1" applyProtection="1">
      <alignment horizontal="centerContinuous" vertical="center"/>
    </xf>
    <xf numFmtId="0" fontId="14" fillId="0" borderId="0" xfId="0" applyFont="1" applyBorder="1" applyAlignment="1" applyProtection="1">
      <alignment horizontal="centerContinuous" vertical="center"/>
    </xf>
    <xf numFmtId="0" fontId="37" fillId="0" borderId="0" xfId="0" applyFont="1" applyBorder="1" applyAlignment="1" applyProtection="1">
      <alignment horizontal="centerContinuous" vertical="center"/>
    </xf>
    <xf numFmtId="0" fontId="27" fillId="0" borderId="0" xfId="0" applyFont="1" applyBorder="1" applyAlignment="1" applyProtection="1">
      <alignment horizontal="centerContinuous" vertical="center"/>
    </xf>
    <xf numFmtId="0" fontId="37" fillId="2" borderId="0" xfId="0" applyFont="1" applyFill="1" applyBorder="1" applyAlignment="1" applyProtection="1">
      <alignment horizontal="centerContinuous" vertical="center"/>
    </xf>
    <xf numFmtId="0" fontId="14" fillId="0" borderId="0" xfId="0" applyFont="1" applyBorder="1" applyAlignment="1">
      <alignment horizontal="centerContinuous" vertical="center"/>
    </xf>
    <xf numFmtId="170" fontId="4" fillId="12" borderId="68" xfId="0" applyNumberFormat="1" applyFont="1" applyFill="1" applyBorder="1" applyAlignment="1" applyProtection="1">
      <alignment horizontal="right" vertical="center"/>
    </xf>
    <xf numFmtId="170" fontId="16" fillId="3" borderId="126" xfId="0" applyNumberFormat="1" applyFont="1" applyFill="1" applyBorder="1" applyAlignment="1" applyProtection="1">
      <alignment horizontal="right" vertical="center"/>
      <protection locked="0"/>
    </xf>
    <xf numFmtId="170" fontId="16" fillId="3" borderId="128" xfId="0" applyNumberFormat="1" applyFont="1" applyFill="1" applyBorder="1" applyAlignment="1" applyProtection="1">
      <alignment horizontal="right" vertical="center"/>
      <protection locked="0"/>
    </xf>
    <xf numFmtId="170" fontId="16" fillId="12" borderId="138" xfId="0" applyNumberFormat="1" applyFont="1" applyFill="1" applyBorder="1" applyAlignment="1" applyProtection="1">
      <alignment horizontal="right" vertical="center"/>
    </xf>
    <xf numFmtId="170" fontId="4" fillId="12" borderId="74" xfId="0" applyNumberFormat="1" applyFont="1" applyFill="1" applyBorder="1" applyAlignment="1" applyProtection="1">
      <alignment horizontal="right" vertical="center"/>
    </xf>
    <xf numFmtId="184" fontId="4" fillId="0" borderId="11" xfId="0" applyNumberFormat="1" applyFont="1" applyBorder="1" applyAlignment="1">
      <alignment horizontal="center"/>
    </xf>
    <xf numFmtId="168" fontId="17" fillId="0" borderId="117" xfId="0" applyNumberFormat="1" applyFont="1" applyBorder="1" applyAlignment="1" applyProtection="1">
      <alignment vertical="center"/>
    </xf>
    <xf numFmtId="168" fontId="17" fillId="0" borderId="139" xfId="0" applyNumberFormat="1" applyFont="1" applyBorder="1" applyAlignment="1" applyProtection="1">
      <alignment vertical="center"/>
    </xf>
    <xf numFmtId="9" fontId="107" fillId="0" borderId="60" xfId="0" applyNumberFormat="1" applyFont="1" applyFill="1" applyBorder="1" applyAlignment="1" applyProtection="1">
      <alignment horizontal="center" vertical="center"/>
    </xf>
    <xf numFmtId="170" fontId="27" fillId="0" borderId="119" xfId="0" applyNumberFormat="1" applyFont="1" applyFill="1" applyBorder="1" applyAlignment="1" applyProtection="1">
      <alignment vertical="center"/>
    </xf>
    <xf numFmtId="170" fontId="20" fillId="0" borderId="162" xfId="0" applyNumberFormat="1" applyFont="1" applyFill="1" applyBorder="1" applyAlignment="1" applyProtection="1">
      <alignment horizontal="right" vertical="center"/>
    </xf>
    <xf numFmtId="170" fontId="16" fillId="12" borderId="163" xfId="0" applyNumberFormat="1" applyFont="1" applyFill="1" applyBorder="1" applyAlignment="1" applyProtection="1">
      <alignment horizontal="right" vertical="center"/>
    </xf>
    <xf numFmtId="170" fontId="16" fillId="12" borderId="146" xfId="0" applyNumberFormat="1" applyFont="1" applyFill="1" applyBorder="1" applyAlignment="1" applyProtection="1">
      <alignment horizontal="right" vertical="center"/>
    </xf>
    <xf numFmtId="170" fontId="4" fillId="3" borderId="164" xfId="0" applyNumberFormat="1" applyFont="1" applyFill="1" applyBorder="1" applyAlignment="1" applyProtection="1">
      <alignment horizontal="right" vertical="center"/>
      <protection locked="0"/>
    </xf>
    <xf numFmtId="170" fontId="4" fillId="3" borderId="165" xfId="0" applyNumberFormat="1" applyFont="1" applyFill="1" applyBorder="1" applyAlignment="1" applyProtection="1">
      <alignment horizontal="right" vertical="center"/>
      <protection locked="0"/>
    </xf>
    <xf numFmtId="170" fontId="4" fillId="3" borderId="166" xfId="0" applyNumberFormat="1" applyFont="1" applyFill="1" applyBorder="1" applyAlignment="1" applyProtection="1">
      <alignment horizontal="right" vertical="center"/>
      <protection locked="0"/>
    </xf>
    <xf numFmtId="0" fontId="0" fillId="0" borderId="19" xfId="0" applyBorder="1"/>
    <xf numFmtId="170" fontId="16" fillId="3" borderId="42" xfId="0" applyNumberFormat="1" applyFont="1" applyFill="1" applyBorder="1" applyAlignment="1" applyProtection="1">
      <alignment horizontal="right" vertical="center"/>
      <protection locked="0"/>
    </xf>
    <xf numFmtId="170" fontId="16" fillId="12" borderId="166" xfId="0" applyNumberFormat="1" applyFont="1" applyFill="1" applyBorder="1" applyAlignment="1" applyProtection="1">
      <alignment horizontal="right" vertical="center"/>
    </xf>
    <xf numFmtId="170" fontId="16" fillId="12" borderId="15" xfId="0" applyNumberFormat="1" applyFont="1" applyFill="1" applyBorder="1" applyAlignment="1" applyProtection="1">
      <alignment horizontal="right" vertical="center"/>
    </xf>
    <xf numFmtId="0" fontId="16" fillId="4" borderId="36" xfId="0" applyFont="1" applyFill="1" applyBorder="1" applyAlignment="1" applyProtection="1">
      <alignment horizontal="center" vertical="top" wrapText="1"/>
    </xf>
    <xf numFmtId="0" fontId="16" fillId="4" borderId="118" xfId="0" applyFont="1" applyFill="1" applyBorder="1" applyAlignment="1" applyProtection="1">
      <alignment horizontal="center" vertical="top" wrapText="1"/>
    </xf>
    <xf numFmtId="0" fontId="36" fillId="0" borderId="101" xfId="0" applyFont="1" applyBorder="1" applyAlignment="1" applyProtection="1">
      <alignment vertical="center"/>
    </xf>
    <xf numFmtId="0" fontId="0" fillId="0" borderId="11" xfId="0" applyBorder="1"/>
    <xf numFmtId="168" fontId="16" fillId="1" borderId="139" xfId="0" applyNumberFormat="1" applyFont="1" applyFill="1" applyBorder="1" applyAlignment="1" applyProtection="1">
      <alignment horizontal="right" vertical="center"/>
    </xf>
    <xf numFmtId="0" fontId="72" fillId="0" borderId="19" xfId="0" applyFont="1" applyBorder="1" applyAlignment="1">
      <alignment horizontal="center"/>
    </xf>
    <xf numFmtId="168" fontId="16" fillId="1" borderId="42" xfId="0" applyNumberFormat="1" applyFont="1" applyFill="1" applyBorder="1" applyAlignment="1" applyProtection="1">
      <alignment horizontal="right" vertical="center"/>
    </xf>
    <xf numFmtId="0" fontId="25" fillId="3" borderId="73" xfId="0" applyFont="1" applyFill="1" applyBorder="1" applyAlignment="1" applyProtection="1">
      <alignment horizontal="center" vertical="center"/>
    </xf>
    <xf numFmtId="0" fontId="119" fillId="0" borderId="0" xfId="0" applyFont="1"/>
    <xf numFmtId="0" fontId="38" fillId="0" borderId="0" xfId="0" applyFont="1" applyAlignment="1"/>
    <xf numFmtId="0" fontId="38" fillId="0" borderId="0" xfId="0" applyFont="1" applyAlignment="1">
      <alignment horizontal="left"/>
    </xf>
    <xf numFmtId="0" fontId="120" fillId="0" borderId="0" xfId="0" applyFont="1" applyAlignment="1">
      <alignment horizontal="left"/>
    </xf>
    <xf numFmtId="0" fontId="120" fillId="0" borderId="0" xfId="0" applyFont="1" applyAlignment="1"/>
    <xf numFmtId="49" fontId="56" fillId="0" borderId="11" xfId="0" applyNumberFormat="1" applyFont="1" applyBorder="1" applyAlignment="1" applyProtection="1">
      <alignment horizontal="left" vertical="center"/>
    </xf>
    <xf numFmtId="180" fontId="121" fillId="0" borderId="155" xfId="0" applyNumberFormat="1" applyFont="1" applyBorder="1" applyAlignment="1">
      <alignment horizontal="right"/>
    </xf>
    <xf numFmtId="180" fontId="121" fillId="0" borderId="156" xfId="0" applyNumberFormat="1" applyFont="1" applyFill="1" applyBorder="1" applyAlignment="1">
      <alignment horizontal="right"/>
    </xf>
    <xf numFmtId="177" fontId="121" fillId="0" borderId="122" xfId="15" applyNumberFormat="1" applyFont="1" applyFill="1" applyBorder="1" applyAlignment="1">
      <alignment horizontal="center"/>
    </xf>
    <xf numFmtId="180" fontId="121" fillId="0" borderId="157" xfId="0" applyNumberFormat="1" applyFont="1" applyBorder="1" applyAlignment="1">
      <alignment horizontal="right"/>
    </xf>
    <xf numFmtId="180" fontId="121" fillId="0" borderId="19" xfId="0" applyNumberFormat="1" applyFont="1" applyBorder="1" applyAlignment="1">
      <alignment horizontal="right"/>
    </xf>
    <xf numFmtId="177" fontId="121" fillId="0" borderId="123" xfId="15" applyNumberFormat="1" applyFont="1" applyFill="1" applyBorder="1" applyAlignment="1">
      <alignment horizontal="center"/>
    </xf>
    <xf numFmtId="177" fontId="121" fillId="0" borderId="124" xfId="15" applyNumberFormat="1" applyFont="1" applyBorder="1" applyAlignment="1">
      <alignment horizontal="center"/>
    </xf>
    <xf numFmtId="180" fontId="121" fillId="0" borderId="158" xfId="0" applyNumberFormat="1" applyFont="1" applyBorder="1" applyAlignment="1">
      <alignment horizontal="right"/>
    </xf>
    <xf numFmtId="180" fontId="121" fillId="0" borderId="159" xfId="0" applyNumberFormat="1" applyFont="1" applyBorder="1" applyAlignment="1">
      <alignment horizontal="right"/>
    </xf>
    <xf numFmtId="177" fontId="121" fillId="0" borderId="160" xfId="15" applyNumberFormat="1" applyFont="1" applyBorder="1" applyAlignment="1">
      <alignment horizontal="center"/>
    </xf>
    <xf numFmtId="0" fontId="122" fillId="0" borderId="0" xfId="0" applyFont="1" applyFill="1"/>
    <xf numFmtId="0" fontId="122" fillId="0" borderId="0" xfId="0" applyFont="1" applyFill="1" applyAlignment="1">
      <alignment horizontal="center"/>
    </xf>
    <xf numFmtId="0" fontId="122" fillId="0" borderId="0" xfId="0" applyFont="1"/>
    <xf numFmtId="180" fontId="16" fillId="0" borderId="155" xfId="0" applyNumberFormat="1" applyFont="1" applyFill="1" applyBorder="1" applyAlignment="1">
      <alignment horizontal="right" vertical="center"/>
    </xf>
    <xf numFmtId="180" fontId="16" fillId="0" borderId="156" xfId="0" applyNumberFormat="1" applyFont="1" applyFill="1" applyBorder="1" applyAlignment="1">
      <alignment horizontal="right" vertical="center"/>
    </xf>
    <xf numFmtId="180" fontId="16" fillId="0" borderId="12" xfId="0" applyNumberFormat="1" applyFont="1" applyFill="1" applyBorder="1" applyAlignment="1">
      <alignment horizontal="right"/>
    </xf>
    <xf numFmtId="177" fontId="16" fillId="0" borderId="122" xfId="15" applyNumberFormat="1" applyFont="1" applyFill="1" applyBorder="1" applyAlignment="1">
      <alignment horizontal="center"/>
    </xf>
    <xf numFmtId="180" fontId="16" fillId="0" borderId="157" xfId="0" applyNumberFormat="1" applyFont="1" applyBorder="1" applyAlignment="1">
      <alignment horizontal="right"/>
    </xf>
    <xf numFmtId="180" fontId="16" fillId="0" borderId="19" xfId="0" applyNumberFormat="1" applyFont="1" applyBorder="1" applyAlignment="1">
      <alignment horizontal="right"/>
    </xf>
    <xf numFmtId="177" fontId="16" fillId="0" borderId="123" xfId="15" applyNumberFormat="1" applyFont="1" applyFill="1" applyBorder="1" applyAlignment="1">
      <alignment horizontal="center"/>
    </xf>
    <xf numFmtId="177" fontId="16" fillId="0" borderId="124" xfId="15" applyNumberFormat="1" applyFont="1" applyBorder="1" applyAlignment="1">
      <alignment horizontal="center"/>
    </xf>
    <xf numFmtId="180" fontId="16" fillId="0" borderId="158" xfId="0" applyNumberFormat="1" applyFont="1" applyBorder="1" applyAlignment="1">
      <alignment horizontal="right"/>
    </xf>
    <xf numFmtId="180" fontId="16" fillId="0" borderId="159" xfId="0" applyNumberFormat="1" applyFont="1" applyBorder="1" applyAlignment="1">
      <alignment horizontal="right"/>
    </xf>
    <xf numFmtId="177" fontId="16" fillId="0" borderId="160" xfId="15" applyNumberFormat="1" applyFont="1" applyBorder="1" applyAlignment="1">
      <alignment horizontal="center"/>
    </xf>
    <xf numFmtId="0" fontId="74" fillId="0" borderId="6" xfId="0" applyFont="1" applyBorder="1" applyAlignment="1" applyProtection="1">
      <alignment horizontal="center" vertical="center" wrapText="1"/>
    </xf>
    <xf numFmtId="0" fontId="4" fillId="0" borderId="0" xfId="0" applyFont="1" applyAlignment="1">
      <alignment horizontal="justify"/>
    </xf>
    <xf numFmtId="0" fontId="37" fillId="0" borderId="53" xfId="0" applyFont="1" applyBorder="1" applyAlignment="1" applyProtection="1">
      <alignment vertical="center"/>
    </xf>
    <xf numFmtId="10" fontId="0" fillId="0" borderId="0" xfId="0" applyNumberFormat="1"/>
    <xf numFmtId="180" fontId="0" fillId="0" borderId="0" xfId="0" applyNumberFormat="1"/>
    <xf numFmtId="177" fontId="0" fillId="0" borderId="0" xfId="0" applyNumberFormat="1"/>
    <xf numFmtId="196" fontId="0" fillId="0" borderId="0" xfId="0" applyNumberFormat="1"/>
    <xf numFmtId="0" fontId="16" fillId="0" borderId="20" xfId="0" applyFont="1" applyFill="1" applyBorder="1" applyAlignment="1" applyProtection="1">
      <alignment horizontal="right" vertical="center" wrapText="1"/>
    </xf>
    <xf numFmtId="0" fontId="16" fillId="0" borderId="21" xfId="0" applyFont="1" applyBorder="1" applyAlignment="1" applyProtection="1">
      <alignment horizontal="right" vertical="center"/>
    </xf>
    <xf numFmtId="0" fontId="16" fillId="0" borderId="101" xfId="0" applyFont="1" applyBorder="1" applyAlignment="1" applyProtection="1">
      <alignment horizontal="right" vertical="center"/>
    </xf>
    <xf numFmtId="0" fontId="16" fillId="0" borderId="21" xfId="0" applyFont="1" applyBorder="1" applyAlignment="1" applyProtection="1">
      <alignment horizontal="right" vertical="center" wrapText="1"/>
    </xf>
    <xf numFmtId="0" fontId="16" fillId="0" borderId="101" xfId="0" applyFont="1" applyBorder="1" applyAlignment="1" applyProtection="1">
      <alignment horizontal="right" vertical="center" wrapText="1"/>
    </xf>
    <xf numFmtId="49" fontId="27" fillId="3" borderId="84" xfId="0" applyNumberFormat="1" applyFont="1" applyFill="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6" fillId="0" borderId="2" xfId="0" applyFont="1" applyFill="1" applyBorder="1" applyAlignment="1" applyProtection="1">
      <alignment horizontal="right" vertical="center" wrapText="1"/>
    </xf>
    <xf numFmtId="0" fontId="16" fillId="0" borderId="0" xfId="0" applyFont="1" applyBorder="1" applyAlignment="1" applyProtection="1">
      <alignment horizontal="right" vertical="center" wrapText="1"/>
    </xf>
    <xf numFmtId="0" fontId="16" fillId="0" borderId="54" xfId="0" applyFont="1" applyBorder="1" applyAlignment="1" applyProtection="1">
      <alignment horizontal="right" vertical="center" wrapText="1"/>
    </xf>
    <xf numFmtId="0" fontId="22" fillId="0" borderId="84" xfId="0" applyFont="1" applyBorder="1" applyAlignment="1" applyProtection="1">
      <alignment horizontal="left" vertical="center"/>
      <protection locked="0"/>
    </xf>
    <xf numFmtId="0" fontId="118" fillId="0" borderId="21" xfId="0" applyFont="1" applyBorder="1" applyAlignment="1">
      <alignment vertical="center"/>
    </xf>
    <xf numFmtId="0" fontId="0" fillId="0" borderId="21" xfId="0" applyBorder="1" applyAlignment="1">
      <alignment vertical="center"/>
    </xf>
    <xf numFmtId="0" fontId="0" fillId="0" borderId="45" xfId="0" applyBorder="1" applyAlignment="1">
      <alignment vertical="center"/>
    </xf>
    <xf numFmtId="49" fontId="17" fillId="3" borderId="84" xfId="0" applyNumberFormat="1" applyFont="1" applyFill="1" applyBorder="1" applyAlignment="1" applyProtection="1">
      <alignment vertical="center"/>
      <protection locked="0"/>
    </xf>
    <xf numFmtId="49" fontId="14" fillId="0" borderId="45" xfId="0" applyNumberFormat="1" applyFont="1" applyBorder="1" applyAlignment="1" applyProtection="1">
      <alignment vertical="center"/>
      <protection locked="0"/>
    </xf>
    <xf numFmtId="49" fontId="17" fillId="3" borderId="167" xfId="0" applyNumberFormat="1" applyFont="1" applyFill="1" applyBorder="1" applyAlignment="1" applyProtection="1">
      <alignment vertical="center"/>
      <protection locked="0"/>
    </xf>
    <xf numFmtId="49" fontId="14" fillId="0" borderId="134" xfId="0" applyNumberFormat="1" applyFont="1" applyBorder="1" applyAlignment="1" applyProtection="1">
      <alignment vertical="center"/>
      <protection locked="0"/>
    </xf>
    <xf numFmtId="0" fontId="31" fillId="4" borderId="178" xfId="0" applyFont="1" applyFill="1" applyBorder="1" applyAlignment="1" applyProtection="1">
      <alignment horizontal="center" vertical="center" wrapText="1"/>
    </xf>
    <xf numFmtId="0" fontId="30" fillId="4" borderId="85" xfId="0" applyFont="1" applyFill="1" applyBorder="1" applyAlignment="1" applyProtection="1">
      <alignment horizontal="center" vertical="center" wrapText="1"/>
    </xf>
    <xf numFmtId="0" fontId="30" fillId="4" borderId="70" xfId="0" applyFont="1" applyFill="1" applyBorder="1" applyAlignment="1" applyProtection="1">
      <alignment horizontal="center" vertical="center" wrapText="1"/>
    </xf>
    <xf numFmtId="0" fontId="16" fillId="0" borderId="34" xfId="0" applyFont="1" applyFill="1" applyBorder="1" applyAlignment="1" applyProtection="1">
      <alignment horizontal="right" vertical="center"/>
    </xf>
    <xf numFmtId="0" fontId="14" fillId="0" borderId="13" xfId="0" applyFont="1" applyBorder="1" applyAlignment="1">
      <alignment horizontal="right" vertical="center"/>
    </xf>
    <xf numFmtId="0" fontId="14" fillId="0" borderId="179" xfId="0" applyFont="1" applyBorder="1" applyAlignment="1">
      <alignment horizontal="right" vertical="center"/>
    </xf>
    <xf numFmtId="0" fontId="7" fillId="4" borderId="8" xfId="0" applyFont="1" applyFill="1" applyBorder="1" applyAlignment="1" applyProtection="1">
      <alignment horizontal="center" vertical="top" wrapText="1"/>
    </xf>
    <xf numFmtId="0" fontId="14" fillId="0" borderId="7" xfId="0" applyFont="1" applyBorder="1" applyAlignment="1">
      <alignment vertical="top"/>
    </xf>
    <xf numFmtId="0" fontId="7" fillId="4" borderId="120" xfId="0" applyFont="1" applyFill="1" applyBorder="1" applyAlignment="1" applyProtection="1">
      <alignment horizontal="center" vertical="top" wrapText="1"/>
    </xf>
    <xf numFmtId="0" fontId="14" fillId="0" borderId="74" xfId="0" applyFont="1" applyBorder="1" applyAlignment="1">
      <alignment horizontal="center" vertical="top" wrapText="1"/>
    </xf>
    <xf numFmtId="0" fontId="7" fillId="8" borderId="180" xfId="0" applyFont="1" applyFill="1" applyBorder="1" applyAlignment="1" applyProtection="1">
      <alignment horizontal="center" vertical="top" wrapText="1"/>
    </xf>
    <xf numFmtId="0" fontId="14" fillId="0" borderId="138" xfId="0" applyFont="1" applyBorder="1" applyAlignment="1">
      <alignment horizontal="center" vertical="top" wrapText="1"/>
    </xf>
    <xf numFmtId="49" fontId="17" fillId="3" borderId="84" xfId="0" applyNumberFormat="1" applyFont="1" applyFill="1" applyBorder="1" applyAlignment="1" applyProtection="1">
      <alignment horizontal="left" vertical="center"/>
      <protection locked="0"/>
    </xf>
    <xf numFmtId="49" fontId="14" fillId="0" borderId="45" xfId="0" applyNumberFormat="1" applyFont="1" applyBorder="1" applyAlignment="1" applyProtection="1">
      <alignment horizontal="left" vertical="center"/>
      <protection locked="0"/>
    </xf>
    <xf numFmtId="0" fontId="27" fillId="0" borderId="176" xfId="0" applyFont="1" applyFill="1" applyBorder="1" applyAlignment="1" applyProtection="1">
      <alignment horizontal="center" vertical="center" wrapText="1"/>
    </xf>
    <xf numFmtId="0" fontId="27" fillId="0" borderId="121" xfId="0" applyFont="1" applyBorder="1" applyAlignment="1">
      <alignment horizontal="center" vertical="center" wrapText="1"/>
    </xf>
    <xf numFmtId="0" fontId="27" fillId="0" borderId="151"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77"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139" xfId="0" applyFont="1" applyBorder="1" applyAlignment="1">
      <alignment horizontal="center" vertical="center" wrapText="1"/>
    </xf>
    <xf numFmtId="49" fontId="25" fillId="3" borderId="84" xfId="0" applyNumberFormat="1" applyFont="1" applyFill="1" applyBorder="1" applyAlignment="1" applyProtection="1">
      <alignment horizontal="center" vertical="center"/>
      <protection locked="0"/>
    </xf>
    <xf numFmtId="0" fontId="14" fillId="0" borderId="101" xfId="0" applyFont="1" applyBorder="1" applyAlignment="1" applyProtection="1">
      <alignment horizontal="center" vertical="center"/>
      <protection locked="0"/>
    </xf>
    <xf numFmtId="49" fontId="17" fillId="3" borderId="19" xfId="0" applyNumberFormat="1" applyFont="1" applyFill="1" applyBorder="1" applyAlignment="1" applyProtection="1">
      <alignment vertical="center"/>
      <protection locked="0"/>
    </xf>
    <xf numFmtId="49" fontId="14" fillId="0" borderId="19" xfId="0" applyNumberFormat="1" applyFont="1" applyBorder="1" applyAlignment="1" applyProtection="1">
      <alignment vertical="center"/>
      <protection locked="0"/>
    </xf>
    <xf numFmtId="49" fontId="25" fillId="0" borderId="84" xfId="0" applyNumberFormat="1" applyFont="1" applyFill="1" applyBorder="1" applyAlignment="1" applyProtection="1">
      <alignment vertical="center"/>
    </xf>
    <xf numFmtId="49" fontId="10" fillId="0" borderId="45" xfId="0" applyNumberFormat="1" applyFont="1" applyFill="1" applyBorder="1" applyAlignment="1" applyProtection="1">
      <alignment vertical="center"/>
    </xf>
    <xf numFmtId="49" fontId="47" fillId="3" borderId="84" xfId="0" applyNumberFormat="1" applyFont="1" applyFill="1" applyBorder="1" applyAlignment="1" applyProtection="1">
      <alignment vertical="center"/>
      <protection locked="0"/>
    </xf>
    <xf numFmtId="49" fontId="14" fillId="0" borderId="101" xfId="0" applyNumberFormat="1" applyFont="1" applyBorder="1" applyAlignment="1" applyProtection="1">
      <alignment vertical="center"/>
      <protection locked="0"/>
    </xf>
    <xf numFmtId="49" fontId="47" fillId="3" borderId="19" xfId="0" applyNumberFormat="1" applyFont="1" applyFill="1" applyBorder="1" applyAlignment="1" applyProtection="1">
      <alignment horizontal="left" vertical="center"/>
      <protection locked="0"/>
    </xf>
    <xf numFmtId="49" fontId="43" fillId="0" borderId="42" xfId="0" applyNumberFormat="1" applyFont="1" applyBorder="1" applyAlignment="1" applyProtection="1">
      <alignment horizontal="left" vertical="center"/>
      <protection locked="0"/>
    </xf>
    <xf numFmtId="0" fontId="51" fillId="4" borderId="71" xfId="0" applyFont="1" applyFill="1" applyBorder="1" applyAlignment="1" applyProtection="1">
      <alignment horizontal="center" vertical="center"/>
    </xf>
    <xf numFmtId="0" fontId="52" fillId="0" borderId="60" xfId="0" applyFont="1" applyBorder="1" applyAlignment="1" applyProtection="1">
      <alignment horizontal="center" vertical="center"/>
    </xf>
    <xf numFmtId="0" fontId="52" fillId="0" borderId="119" xfId="0" applyFont="1" applyBorder="1" applyAlignment="1" applyProtection="1">
      <alignment horizontal="center" vertical="center"/>
    </xf>
    <xf numFmtId="0" fontId="73" fillId="2" borderId="6" xfId="0" applyFont="1" applyFill="1" applyBorder="1" applyAlignment="1" applyProtection="1">
      <alignment horizontal="center" vertical="center" wrapText="1"/>
    </xf>
    <xf numFmtId="0" fontId="74" fillId="0" borderId="6" xfId="0" applyFont="1" applyBorder="1" applyAlignment="1" applyProtection="1">
      <alignment horizontal="center" vertical="center" wrapText="1"/>
    </xf>
    <xf numFmtId="0" fontId="37" fillId="2" borderId="9" xfId="0" applyFont="1" applyFill="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36" fillId="0" borderId="87" xfId="0" applyFont="1" applyFill="1" applyBorder="1" applyAlignment="1" applyProtection="1">
      <alignment horizontal="center" vertical="center" wrapText="1"/>
    </xf>
    <xf numFmtId="0" fontId="97" fillId="0" borderId="10" xfId="0" applyFont="1" applyFill="1" applyBorder="1" applyAlignment="1" applyProtection="1">
      <alignment horizontal="center" vertical="center" wrapText="1"/>
    </xf>
    <xf numFmtId="0" fontId="97" fillId="0" borderId="53" xfId="0" applyFont="1" applyFill="1" applyBorder="1" applyAlignment="1" applyProtection="1">
      <alignment horizontal="center" vertical="center" wrapText="1"/>
    </xf>
    <xf numFmtId="0" fontId="97" fillId="0" borderId="11" xfId="0" applyFont="1" applyFill="1" applyBorder="1" applyAlignment="1" applyProtection="1">
      <alignment horizontal="center" vertical="center" wrapText="1"/>
    </xf>
    <xf numFmtId="0" fontId="97" fillId="0" borderId="169" xfId="0" applyFont="1" applyFill="1" applyBorder="1" applyAlignment="1" applyProtection="1">
      <alignment horizontal="center" vertical="center" wrapText="1"/>
    </xf>
    <xf numFmtId="0" fontId="97" fillId="0" borderId="168" xfId="0" applyFont="1" applyFill="1" applyBorder="1" applyAlignment="1" applyProtection="1">
      <alignment horizontal="center" vertical="center" wrapText="1"/>
    </xf>
    <xf numFmtId="49" fontId="17" fillId="3" borderId="19" xfId="0" applyNumberFormat="1" applyFont="1" applyFill="1" applyBorder="1" applyAlignment="1" applyProtection="1">
      <alignment vertical="center" wrapText="1"/>
      <protection locked="0"/>
    </xf>
    <xf numFmtId="49" fontId="14" fillId="0" borderId="19" xfId="0" applyNumberFormat="1" applyFont="1" applyBorder="1" applyAlignment="1" applyProtection="1">
      <alignment vertical="center" wrapText="1"/>
      <protection locked="0"/>
    </xf>
    <xf numFmtId="49" fontId="17" fillId="3" borderId="76" xfId="0" applyNumberFormat="1" applyFont="1" applyFill="1" applyBorder="1" applyAlignment="1" applyProtection="1">
      <alignment horizontal="left" vertical="center"/>
      <protection locked="0"/>
    </xf>
    <xf numFmtId="49" fontId="15" fillId="0" borderId="18" xfId="0" applyNumberFormat="1" applyFont="1" applyBorder="1" applyAlignment="1" applyProtection="1">
      <alignment horizontal="left" vertical="center"/>
      <protection locked="0"/>
    </xf>
    <xf numFmtId="49" fontId="17" fillId="3" borderId="17" xfId="0" applyNumberFormat="1" applyFont="1" applyFill="1" applyBorder="1" applyAlignment="1" applyProtection="1">
      <alignment horizontal="left" vertical="center"/>
      <protection locked="0"/>
    </xf>
    <xf numFmtId="49" fontId="17" fillId="3" borderId="18" xfId="0" applyNumberFormat="1" applyFont="1" applyFill="1" applyBorder="1" applyAlignment="1" applyProtection="1">
      <alignment horizontal="left" vertical="center"/>
      <protection locked="0"/>
    </xf>
    <xf numFmtId="49" fontId="17" fillId="3" borderId="167" xfId="0" applyNumberFormat="1"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34" xfId="0" applyBorder="1" applyAlignment="1" applyProtection="1">
      <alignment horizontal="left" vertical="center"/>
      <protection locked="0"/>
    </xf>
    <xf numFmtId="0" fontId="10" fillId="0" borderId="84" xfId="0" applyFont="1" applyFill="1" applyBorder="1" applyAlignment="1">
      <alignment vertical="top" wrapText="1"/>
    </xf>
    <xf numFmtId="0" fontId="0" fillId="0" borderId="21" xfId="0" applyBorder="1" applyAlignment="1">
      <alignment vertical="top" wrapText="1"/>
    </xf>
    <xf numFmtId="0" fontId="16" fillId="0" borderId="81" xfId="0" applyFont="1" applyFill="1" applyBorder="1" applyAlignment="1" applyProtection="1">
      <alignment horizontal="right" vertical="center" wrapText="1"/>
    </xf>
    <xf numFmtId="0" fontId="16" fillId="0" borderId="172" xfId="0" applyFont="1" applyFill="1" applyBorder="1" applyAlignment="1" applyProtection="1">
      <alignment horizontal="right" vertical="center" wrapText="1"/>
    </xf>
    <xf numFmtId="0" fontId="16" fillId="0" borderId="172" xfId="0" applyFont="1" applyBorder="1" applyAlignment="1" applyProtection="1">
      <alignment horizontal="right" vertical="center" wrapText="1"/>
    </xf>
    <xf numFmtId="0" fontId="16" fillId="0" borderId="120" xfId="0" applyFont="1" applyBorder="1" applyAlignment="1" applyProtection="1">
      <alignment horizontal="right" vertical="center" wrapText="1"/>
    </xf>
    <xf numFmtId="0" fontId="16" fillId="0" borderId="31" xfId="0" applyFont="1" applyBorder="1" applyAlignment="1" applyProtection="1">
      <alignment horizontal="right" vertical="center" wrapText="1"/>
    </xf>
    <xf numFmtId="0" fontId="16" fillId="0" borderId="32" xfId="0" applyFont="1" applyBorder="1" applyAlignment="1" applyProtection="1">
      <alignment horizontal="right" vertical="center" wrapText="1"/>
    </xf>
    <xf numFmtId="0" fontId="16" fillId="0" borderId="40" xfId="0" applyFont="1" applyBorder="1" applyAlignment="1" applyProtection="1">
      <alignment horizontal="right" vertical="center" wrapText="1"/>
    </xf>
    <xf numFmtId="0" fontId="17" fillId="12" borderId="2" xfId="0" applyFont="1" applyFill="1" applyBorder="1" applyAlignment="1" applyProtection="1">
      <alignment horizontal="right" vertical="center" wrapText="1"/>
    </xf>
    <xf numFmtId="0" fontId="17" fillId="12" borderId="0" xfId="0" applyFont="1" applyFill="1" applyBorder="1" applyAlignment="1" applyProtection="1">
      <alignment horizontal="right" vertical="center" wrapText="1"/>
    </xf>
    <xf numFmtId="0" fontId="17" fillId="0" borderId="0" xfId="0" applyFont="1" applyBorder="1" applyAlignment="1" applyProtection="1">
      <alignment horizontal="right" vertical="center" wrapText="1"/>
    </xf>
    <xf numFmtId="0" fontId="17" fillId="0" borderId="11" xfId="0" applyFont="1" applyBorder="1" applyAlignment="1" applyProtection="1">
      <alignment horizontal="right" vertical="center" wrapText="1"/>
    </xf>
    <xf numFmtId="0" fontId="17" fillId="10" borderId="58" xfId="0" applyFont="1" applyFill="1" applyBorder="1" applyAlignment="1" applyProtection="1">
      <alignment horizontal="right" vertical="center" wrapText="1"/>
    </xf>
    <xf numFmtId="0" fontId="17" fillId="10" borderId="5" xfId="0" applyFont="1" applyFill="1" applyBorder="1" applyAlignment="1" applyProtection="1">
      <alignment horizontal="right" vertical="center" wrapText="1"/>
    </xf>
    <xf numFmtId="0" fontId="17" fillId="10" borderId="59" xfId="0" applyFont="1" applyFill="1" applyBorder="1" applyAlignment="1" applyProtection="1">
      <alignment horizontal="right" vertical="center" wrapText="1"/>
    </xf>
    <xf numFmtId="0" fontId="16" fillId="0" borderId="67" xfId="0" applyFont="1" applyFill="1" applyBorder="1" applyAlignment="1" applyProtection="1">
      <alignment horizontal="right" vertical="center" wrapText="1"/>
    </xf>
    <xf numFmtId="0" fontId="16" fillId="0" borderId="12" xfId="0" applyFont="1" applyBorder="1" applyAlignment="1" applyProtection="1">
      <alignment horizontal="right" vertical="center" wrapText="1"/>
    </xf>
    <xf numFmtId="0" fontId="16" fillId="0" borderId="68" xfId="0" applyFont="1" applyBorder="1" applyAlignment="1" applyProtection="1">
      <alignment horizontal="right" vertical="center" wrapText="1"/>
    </xf>
    <xf numFmtId="0" fontId="20" fillId="0" borderId="170" xfId="0" applyFont="1" applyFill="1" applyBorder="1" applyAlignment="1" applyProtection="1">
      <alignment horizontal="right" vertical="center" wrapText="1"/>
    </xf>
    <xf numFmtId="0" fontId="20" fillId="0" borderId="171" xfId="0" applyFont="1" applyFill="1" applyBorder="1" applyAlignment="1" applyProtection="1">
      <alignment horizontal="right" vertical="center" wrapText="1"/>
    </xf>
    <xf numFmtId="0" fontId="20" fillId="0" borderId="171" xfId="0" applyFont="1" applyBorder="1" applyAlignment="1" applyProtection="1">
      <alignment horizontal="right" vertical="center" wrapText="1"/>
    </xf>
    <xf numFmtId="0" fontId="20" fillId="0" borderId="136" xfId="0" applyFont="1" applyBorder="1" applyAlignment="1" applyProtection="1">
      <alignment horizontal="right" vertical="center" wrapText="1"/>
    </xf>
    <xf numFmtId="0" fontId="106" fillId="4" borderId="71" xfId="0" applyFont="1" applyFill="1" applyBorder="1" applyAlignment="1" applyProtection="1">
      <alignment horizontal="left" vertical="center" wrapText="1"/>
    </xf>
    <xf numFmtId="0" fontId="105" fillId="4" borderId="60" xfId="0" applyFont="1" applyFill="1" applyBorder="1" applyAlignment="1" applyProtection="1">
      <alignment horizontal="left" vertical="center" wrapText="1"/>
    </xf>
    <xf numFmtId="0" fontId="20" fillId="0" borderId="174" xfId="0" applyFont="1" applyFill="1" applyBorder="1" applyAlignment="1" applyProtection="1">
      <alignment horizontal="right" vertical="center" wrapText="1"/>
    </xf>
    <xf numFmtId="0" fontId="20" fillId="0" borderId="56" xfId="0" applyFont="1" applyFill="1" applyBorder="1" applyAlignment="1" applyProtection="1">
      <alignment horizontal="right" vertical="center"/>
    </xf>
    <xf numFmtId="0" fontId="20" fillId="0" borderId="175" xfId="0" applyFont="1" applyFill="1" applyBorder="1" applyAlignment="1" applyProtection="1">
      <alignment horizontal="right" vertical="center"/>
    </xf>
    <xf numFmtId="0" fontId="17" fillId="12" borderId="0" xfId="0" applyFont="1" applyFill="1" applyBorder="1" applyAlignment="1" applyProtection="1">
      <alignment horizontal="right" vertical="center"/>
    </xf>
    <xf numFmtId="0" fontId="17" fillId="12" borderId="54" xfId="0" applyFont="1" applyFill="1" applyBorder="1" applyAlignment="1" applyProtection="1">
      <alignment horizontal="right" vertical="center"/>
    </xf>
    <xf numFmtId="0" fontId="57" fillId="4" borderId="174" xfId="0" applyFont="1" applyFill="1" applyBorder="1" applyAlignment="1" applyProtection="1">
      <alignment horizontal="left" vertical="center" wrapText="1"/>
    </xf>
    <xf numFmtId="0" fontId="62" fillId="4" borderId="56" xfId="0" applyFont="1" applyFill="1" applyBorder="1" applyAlignment="1" applyProtection="1">
      <alignment vertical="center" wrapText="1"/>
    </xf>
    <xf numFmtId="0" fontId="16" fillId="0" borderId="0" xfId="0" applyFont="1" applyBorder="1" applyAlignment="1" applyProtection="1">
      <alignment horizontal="right" vertical="center"/>
    </xf>
    <xf numFmtId="0" fontId="16" fillId="0" borderId="54" xfId="0" applyFont="1" applyBorder="1" applyAlignment="1" applyProtection="1">
      <alignment horizontal="right" vertical="center"/>
    </xf>
    <xf numFmtId="0" fontId="7" fillId="0" borderId="2"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54" xfId="0" applyFont="1" applyBorder="1" applyAlignment="1" applyProtection="1">
      <alignment horizontal="right" vertical="center" wrapText="1"/>
    </xf>
    <xf numFmtId="0" fontId="7" fillId="10" borderId="58" xfId="0" applyFont="1" applyFill="1" applyBorder="1" applyAlignment="1" applyProtection="1">
      <alignment horizontal="right" vertical="center" wrapText="1"/>
    </xf>
    <xf numFmtId="0" fontId="7" fillId="10" borderId="5" xfId="0" applyFont="1" applyFill="1" applyBorder="1" applyAlignment="1" applyProtection="1">
      <alignment horizontal="right" vertical="center" wrapText="1"/>
    </xf>
    <xf numFmtId="0" fontId="7" fillId="10" borderId="173" xfId="0" applyFont="1" applyFill="1" applyBorder="1" applyAlignment="1" applyProtection="1">
      <alignment horizontal="right" vertical="center" wrapText="1"/>
    </xf>
    <xf numFmtId="0" fontId="107" fillId="11" borderId="7" xfId="0" applyFont="1" applyFill="1" applyBorder="1" applyAlignment="1" applyProtection="1">
      <alignment horizontal="left" vertical="center" wrapText="1"/>
    </xf>
    <xf numFmtId="0" fontId="110" fillId="11" borderId="6" xfId="0" applyFont="1" applyFill="1" applyBorder="1" applyAlignment="1">
      <alignment horizontal="left" vertical="center" wrapText="1"/>
    </xf>
    <xf numFmtId="49" fontId="17" fillId="3" borderId="84" xfId="0" applyNumberFormat="1" applyFont="1" applyFill="1" applyBorder="1" applyAlignment="1" applyProtection="1">
      <alignment vertical="center"/>
    </xf>
    <xf numFmtId="49" fontId="14" fillId="0" borderId="45" xfId="0" applyNumberFormat="1" applyFont="1" applyBorder="1" applyAlignment="1" applyProtection="1">
      <alignment vertical="center"/>
    </xf>
    <xf numFmtId="0" fontId="7" fillId="5" borderId="174" xfId="0" applyFont="1" applyFill="1" applyBorder="1" applyAlignment="1" applyProtection="1">
      <alignment horizontal="left" vertical="center" wrapText="1"/>
    </xf>
    <xf numFmtId="0" fontId="4" fillId="5" borderId="56" xfId="0" applyFont="1" applyFill="1" applyBorder="1" applyAlignment="1" applyProtection="1">
      <alignment horizontal="left" vertical="center" wrapText="1"/>
    </xf>
    <xf numFmtId="0" fontId="4" fillId="5" borderId="56" xfId="0" applyFont="1" applyFill="1" applyBorder="1" applyAlignment="1" applyProtection="1">
      <alignment vertical="center" wrapText="1"/>
    </xf>
    <xf numFmtId="0" fontId="107" fillId="7" borderId="7" xfId="0" applyFont="1" applyFill="1" applyBorder="1" applyAlignment="1" applyProtection="1">
      <alignment horizontal="left" vertical="center" wrapText="1"/>
    </xf>
    <xf numFmtId="0" fontId="110" fillId="7" borderId="6" xfId="0" applyFont="1" applyFill="1" applyBorder="1" applyAlignment="1" applyProtection="1">
      <alignment horizontal="left" vertical="center" wrapText="1"/>
    </xf>
    <xf numFmtId="0" fontId="16" fillId="0" borderId="66" xfId="0" applyFont="1" applyFill="1" applyBorder="1" applyAlignment="1" applyProtection="1">
      <alignment horizontal="right" vertical="center" wrapText="1"/>
    </xf>
    <xf numFmtId="0" fontId="16" fillId="0" borderId="52" xfId="0" applyFont="1" applyFill="1" applyBorder="1" applyAlignment="1" applyProtection="1">
      <alignment horizontal="right" vertical="center" wrapText="1"/>
    </xf>
    <xf numFmtId="0" fontId="16" fillId="0" borderId="52" xfId="0" applyFont="1" applyBorder="1" applyAlignment="1" applyProtection="1">
      <alignment horizontal="right" vertical="center" wrapText="1"/>
    </xf>
    <xf numFmtId="0" fontId="16" fillId="0" borderId="53" xfId="0" applyFont="1" applyBorder="1" applyAlignment="1" applyProtection="1">
      <alignment horizontal="right" vertical="center" wrapText="1"/>
    </xf>
    <xf numFmtId="49" fontId="17" fillId="3" borderId="19" xfId="0" applyNumberFormat="1" applyFont="1" applyFill="1" applyBorder="1" applyAlignment="1" applyProtection="1">
      <alignment vertical="center" wrapText="1"/>
    </xf>
    <xf numFmtId="49" fontId="14" fillId="0" borderId="19" xfId="0" applyNumberFormat="1" applyFont="1" applyBorder="1" applyAlignment="1" applyProtection="1">
      <alignment vertical="center" wrapText="1"/>
    </xf>
    <xf numFmtId="49" fontId="17" fillId="3" borderId="76" xfId="0" applyNumberFormat="1" applyFont="1" applyFill="1" applyBorder="1" applyAlignment="1" applyProtection="1">
      <alignment vertical="center"/>
    </xf>
    <xf numFmtId="49" fontId="15" fillId="0" borderId="18" xfId="0" applyNumberFormat="1" applyFont="1" applyBorder="1" applyAlignment="1" applyProtection="1">
      <alignment vertical="center"/>
    </xf>
    <xf numFmtId="49" fontId="17" fillId="3" borderId="17" xfId="0" applyNumberFormat="1" applyFont="1" applyFill="1" applyBorder="1" applyAlignment="1" applyProtection="1">
      <alignment vertical="center"/>
    </xf>
    <xf numFmtId="49" fontId="17" fillId="3" borderId="18" xfId="0" applyNumberFormat="1" applyFont="1" applyFill="1" applyBorder="1" applyAlignment="1" applyProtection="1">
      <alignment vertical="center"/>
    </xf>
    <xf numFmtId="49" fontId="17" fillId="3" borderId="167" xfId="0" applyNumberFormat="1" applyFont="1" applyFill="1" applyBorder="1" applyAlignment="1" applyProtection="1">
      <alignment vertical="center"/>
    </xf>
    <xf numFmtId="0" fontId="0" fillId="0" borderId="1" xfId="0" applyBorder="1" applyAlignment="1">
      <alignment vertical="center"/>
    </xf>
    <xf numFmtId="0" fontId="0" fillId="0" borderId="134" xfId="0" applyBorder="1" applyAlignment="1">
      <alignment vertical="center"/>
    </xf>
    <xf numFmtId="0" fontId="27" fillId="0" borderId="121" xfId="0" applyFont="1" applyBorder="1" applyAlignment="1" applyProtection="1">
      <alignment horizontal="center" vertical="center" wrapText="1"/>
    </xf>
    <xf numFmtId="0" fontId="27" fillId="0" borderId="151" xfId="0" applyFont="1" applyBorder="1" applyAlignment="1" applyProtection="1">
      <alignment horizontal="center" vertical="center" wrapText="1"/>
    </xf>
    <xf numFmtId="0" fontId="27" fillId="0" borderId="38"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27" fillId="0" borderId="177" xfId="0" applyFont="1" applyBorder="1" applyAlignment="1" applyProtection="1">
      <alignment horizontal="center" vertical="center" wrapText="1"/>
    </xf>
    <xf numFmtId="0" fontId="27" fillId="0" borderId="73" xfId="0" applyFont="1" applyBorder="1" applyAlignment="1" applyProtection="1">
      <alignment horizontal="center" vertical="center" wrapText="1"/>
    </xf>
    <xf numFmtId="0" fontId="27" fillId="0" borderId="139" xfId="0" applyFont="1" applyBorder="1" applyAlignment="1" applyProtection="1">
      <alignment horizontal="center" vertical="center" wrapText="1"/>
    </xf>
    <xf numFmtId="49" fontId="25" fillId="3" borderId="84" xfId="0" applyNumberFormat="1" applyFont="1" applyFill="1" applyBorder="1" applyAlignment="1" applyProtection="1">
      <alignment horizontal="center" vertical="center"/>
    </xf>
    <xf numFmtId="0" fontId="14" fillId="0" borderId="101" xfId="0" applyFont="1" applyBorder="1" applyAlignment="1" applyProtection="1">
      <alignment horizontal="center" vertical="center"/>
    </xf>
    <xf numFmtId="49" fontId="17" fillId="3" borderId="19" xfId="0" applyNumberFormat="1" applyFont="1" applyFill="1" applyBorder="1" applyAlignment="1" applyProtection="1">
      <alignment vertical="center"/>
    </xf>
    <xf numFmtId="49" fontId="14" fillId="0" borderId="19" xfId="0" applyNumberFormat="1" applyFont="1" applyBorder="1" applyAlignment="1" applyProtection="1">
      <alignment vertical="center"/>
    </xf>
    <xf numFmtId="49" fontId="17" fillId="3" borderId="84" xfId="0" applyNumberFormat="1" applyFont="1" applyFill="1" applyBorder="1" applyAlignment="1" applyProtection="1">
      <alignment horizontal="left" vertical="center"/>
    </xf>
    <xf numFmtId="49" fontId="47" fillId="3" borderId="84" xfId="0" applyNumberFormat="1" applyFont="1" applyFill="1" applyBorder="1" applyAlignment="1" applyProtection="1">
      <alignment vertical="center"/>
    </xf>
    <xf numFmtId="49" fontId="14" fillId="0" borderId="101" xfId="0" applyNumberFormat="1" applyFont="1" applyBorder="1" applyAlignment="1" applyProtection="1">
      <alignment vertical="center"/>
    </xf>
    <xf numFmtId="49" fontId="47" fillId="3" borderId="19" xfId="0" applyNumberFormat="1" applyFont="1" applyFill="1" applyBorder="1" applyAlignment="1" applyProtection="1">
      <alignment vertical="center"/>
    </xf>
    <xf numFmtId="49" fontId="43" fillId="0" borderId="42" xfId="0" applyNumberFormat="1" applyFont="1" applyBorder="1" applyAlignment="1" applyProtection="1">
      <alignment vertical="center"/>
    </xf>
    <xf numFmtId="49" fontId="14" fillId="0" borderId="134" xfId="0" applyNumberFormat="1" applyFont="1" applyBorder="1" applyAlignment="1" applyProtection="1">
      <alignment vertical="center"/>
    </xf>
    <xf numFmtId="0" fontId="14" fillId="0" borderId="13" xfId="0" applyFont="1" applyBorder="1" applyAlignment="1" applyProtection="1">
      <alignment horizontal="right" vertical="center"/>
    </xf>
    <xf numFmtId="0" fontId="14" fillId="0" borderId="179" xfId="0" applyFont="1" applyBorder="1" applyAlignment="1" applyProtection="1">
      <alignment horizontal="right" vertical="center"/>
    </xf>
    <xf numFmtId="0" fontId="14" fillId="0" borderId="7" xfId="0" applyFont="1" applyBorder="1" applyAlignment="1" applyProtection="1">
      <alignment vertical="top"/>
    </xf>
    <xf numFmtId="0" fontId="14" fillId="0" borderId="74" xfId="0" applyFont="1" applyBorder="1" applyAlignment="1" applyProtection="1">
      <alignment horizontal="center" vertical="top" wrapText="1"/>
    </xf>
    <xf numFmtId="0" fontId="14" fillId="0" borderId="138" xfId="0" applyFont="1" applyBorder="1" applyAlignment="1" applyProtection="1">
      <alignment horizontal="center" vertical="top" wrapText="1"/>
    </xf>
    <xf numFmtId="49" fontId="14" fillId="0" borderId="45" xfId="0" applyNumberFormat="1" applyFont="1" applyBorder="1" applyAlignment="1" applyProtection="1">
      <alignment horizontal="left" vertical="center"/>
    </xf>
    <xf numFmtId="49" fontId="27" fillId="3" borderId="84" xfId="0" applyNumberFormat="1" applyFont="1" applyFill="1" applyBorder="1" applyAlignment="1" applyProtection="1">
      <alignment horizontal="center" vertical="center"/>
    </xf>
    <xf numFmtId="171" fontId="5" fillId="0" borderId="19" xfId="0" applyNumberFormat="1" applyFont="1" applyFill="1" applyBorder="1" applyAlignment="1" applyProtection="1">
      <alignment vertical="center"/>
    </xf>
    <xf numFmtId="171" fontId="4" fillId="0" borderId="19" xfId="0" applyNumberFormat="1" applyFont="1" applyBorder="1" applyAlignment="1" applyProtection="1">
      <alignment vertical="center"/>
    </xf>
    <xf numFmtId="9" fontId="4" fillId="0" borderId="2" xfId="0" applyNumberFormat="1" applyFont="1" applyFill="1" applyBorder="1" applyAlignment="1" applyProtection="1">
      <alignment vertical="center"/>
    </xf>
    <xf numFmtId="0" fontId="14" fillId="0" borderId="0" xfId="0" applyFont="1" applyBorder="1" applyAlignment="1" applyProtection="1">
      <alignment vertical="center"/>
    </xf>
    <xf numFmtId="0" fontId="9" fillId="0" borderId="19" xfId="0" applyFont="1" applyFill="1" applyBorder="1" applyAlignment="1" applyProtection="1">
      <alignment horizontal="center" vertical="center" wrapText="1"/>
    </xf>
    <xf numFmtId="0" fontId="4" fillId="0" borderId="19" xfId="0" applyFont="1" applyBorder="1" applyAlignment="1" applyProtection="1">
      <alignment horizontal="center" vertical="center" wrapText="1"/>
    </xf>
    <xf numFmtId="171" fontId="5" fillId="0" borderId="84" xfId="0" applyNumberFormat="1" applyFont="1" applyFill="1" applyBorder="1" applyAlignment="1" applyProtection="1">
      <alignment vertical="center"/>
    </xf>
    <xf numFmtId="171" fontId="14" fillId="0" borderId="21" xfId="0" applyNumberFormat="1" applyFont="1" applyBorder="1" applyAlignment="1" applyProtection="1">
      <alignment vertical="center"/>
    </xf>
    <xf numFmtId="171" fontId="14" fillId="0" borderId="101" xfId="0" applyNumberFormat="1" applyFont="1" applyBorder="1" applyAlignment="1" applyProtection="1">
      <alignment vertical="center"/>
    </xf>
    <xf numFmtId="171" fontId="19" fillId="3" borderId="181" xfId="0" applyNumberFormat="1" applyFont="1" applyFill="1" applyBorder="1" applyAlignment="1" applyProtection="1">
      <alignment vertical="center"/>
      <protection locked="0"/>
    </xf>
    <xf numFmtId="171" fontId="4" fillId="0" borderId="181" xfId="0" applyNumberFormat="1" applyFont="1" applyBorder="1" applyAlignment="1" applyProtection="1">
      <alignment vertical="center"/>
      <protection locked="0"/>
    </xf>
    <xf numFmtId="171" fontId="19" fillId="3" borderId="184" xfId="0" applyNumberFormat="1" applyFont="1" applyFill="1" applyBorder="1" applyAlignment="1" applyProtection="1">
      <alignment vertical="center"/>
      <protection locked="0"/>
    </xf>
    <xf numFmtId="171" fontId="4" fillId="0" borderId="6" xfId="0" applyNumberFormat="1" applyFont="1" applyBorder="1" applyAlignment="1" applyProtection="1">
      <alignment vertical="center"/>
      <protection locked="0"/>
    </xf>
    <xf numFmtId="171" fontId="4" fillId="0" borderId="186" xfId="0" applyNumberFormat="1" applyFont="1" applyBorder="1" applyAlignment="1" applyProtection="1">
      <alignment vertical="center"/>
      <protection locked="0"/>
    </xf>
    <xf numFmtId="171" fontId="19" fillId="3" borderId="135" xfId="0" applyNumberFormat="1" applyFont="1" applyFill="1" applyBorder="1" applyAlignment="1" applyProtection="1">
      <alignment vertical="center"/>
      <protection locked="0"/>
    </xf>
    <xf numFmtId="49" fontId="55" fillId="0" borderId="19" xfId="0" applyNumberFormat="1" applyFont="1" applyBorder="1" applyAlignment="1" applyProtection="1">
      <alignment vertical="center"/>
    </xf>
    <xf numFmtId="49" fontId="14" fillId="0" borderId="42" xfId="0" applyNumberFormat="1" applyFont="1" applyBorder="1" applyAlignment="1" applyProtection="1">
      <alignment vertical="center"/>
    </xf>
    <xf numFmtId="9" fontId="61" fillId="0" borderId="2" xfId="0" applyNumberFormat="1" applyFont="1" applyFill="1" applyBorder="1" applyAlignment="1" applyProtection="1">
      <alignment vertical="center"/>
    </xf>
    <xf numFmtId="0" fontId="55" fillId="0" borderId="19" xfId="0" applyFont="1" applyBorder="1" applyAlignment="1" applyProtection="1">
      <alignment vertical="center"/>
    </xf>
    <xf numFmtId="0" fontId="33" fillId="0" borderId="19" xfId="0" applyFont="1" applyBorder="1" applyAlignment="1" applyProtection="1">
      <alignment vertical="center"/>
    </xf>
    <xf numFmtId="0" fontId="4" fillId="0" borderId="2" xfId="0" applyFont="1" applyFill="1" applyBorder="1" applyAlignment="1" applyProtection="1">
      <alignment horizontal="left" vertical="center"/>
    </xf>
    <xf numFmtId="0" fontId="17" fillId="0" borderId="71" xfId="0" applyFont="1" applyBorder="1" applyAlignment="1" applyProtection="1">
      <alignment horizontal="right" vertical="center" wrapText="1"/>
    </xf>
    <xf numFmtId="0" fontId="0" fillId="0" borderId="60" xfId="0" applyBorder="1" applyAlignment="1">
      <alignment horizontal="right" vertical="center" wrapText="1"/>
    </xf>
    <xf numFmtId="170" fontId="17" fillId="0" borderId="185" xfId="0" applyNumberFormat="1" applyFont="1" applyBorder="1" applyAlignment="1" applyProtection="1">
      <alignment horizontal="left" vertical="center"/>
    </xf>
    <xf numFmtId="170" fontId="0" fillId="0" borderId="69" xfId="0" applyNumberFormat="1" applyBorder="1" applyAlignment="1">
      <alignment horizontal="left" vertical="center"/>
    </xf>
    <xf numFmtId="179" fontId="55" fillId="0" borderId="73" xfId="0" applyNumberFormat="1" applyFont="1" applyBorder="1" applyAlignment="1" applyProtection="1">
      <alignment horizontal="left" vertical="center"/>
    </xf>
    <xf numFmtId="0" fontId="55" fillId="0" borderId="73" xfId="0" applyFont="1" applyBorder="1" applyAlignment="1" applyProtection="1">
      <alignment vertical="center"/>
    </xf>
    <xf numFmtId="0" fontId="17" fillId="0" borderId="76" xfId="0" applyFont="1" applyFill="1" applyBorder="1" applyAlignment="1" applyProtection="1">
      <alignment horizontal="right" vertical="center"/>
    </xf>
    <xf numFmtId="0" fontId="14" fillId="0" borderId="17" xfId="0" applyFont="1" applyBorder="1" applyAlignment="1" applyProtection="1">
      <alignment vertical="center"/>
    </xf>
    <xf numFmtId="0" fontId="14" fillId="0" borderId="183" xfId="0" applyFont="1" applyBorder="1" applyAlignment="1" applyProtection="1">
      <alignment vertical="center"/>
    </xf>
    <xf numFmtId="0" fontId="47" fillId="0" borderId="7" xfId="0" applyFont="1" applyBorder="1" applyAlignment="1" applyProtection="1">
      <alignment horizontal="right" vertical="center" wrapText="1"/>
    </xf>
    <xf numFmtId="0" fontId="16" fillId="0" borderId="6" xfId="0" applyFont="1" applyBorder="1" applyAlignment="1" applyProtection="1">
      <alignment horizontal="right" vertical="center"/>
    </xf>
    <xf numFmtId="0" fontId="17" fillId="0" borderId="184" xfId="0" applyFont="1" applyFill="1" applyBorder="1" applyAlignment="1" applyProtection="1">
      <alignment horizontal="right" vertical="center"/>
    </xf>
    <xf numFmtId="0" fontId="16" fillId="0" borderId="6" xfId="0" applyFont="1" applyBorder="1" applyAlignment="1" applyProtection="1">
      <alignment vertical="center"/>
    </xf>
    <xf numFmtId="9" fontId="5" fillId="0" borderId="2" xfId="0" applyNumberFormat="1" applyFont="1" applyFill="1" applyBorder="1" applyAlignment="1" applyProtection="1">
      <alignment horizontal="left" vertical="center"/>
    </xf>
    <xf numFmtId="0" fontId="14" fillId="0" borderId="42" xfId="0" applyFont="1" applyBorder="1" applyAlignment="1" applyProtection="1">
      <alignment vertical="center"/>
    </xf>
    <xf numFmtId="49" fontId="55" fillId="0" borderId="84" xfId="0" applyNumberFormat="1" applyFont="1" applyBorder="1" applyAlignment="1" applyProtection="1">
      <alignment horizontal="left" vertical="center"/>
    </xf>
    <xf numFmtId="49" fontId="55" fillId="0" borderId="30" xfId="0" applyNumberFormat="1" applyFont="1" applyBorder="1" applyAlignment="1" applyProtection="1">
      <alignment vertical="center"/>
    </xf>
    <xf numFmtId="49" fontId="33" fillId="0" borderId="117" xfId="0" applyNumberFormat="1" applyFont="1" applyBorder="1" applyAlignment="1" applyProtection="1">
      <alignment vertical="center"/>
    </xf>
    <xf numFmtId="49" fontId="55" fillId="0" borderId="60" xfId="0" applyNumberFormat="1" applyFont="1" applyBorder="1" applyAlignment="1" applyProtection="1">
      <alignment vertical="center"/>
    </xf>
    <xf numFmtId="0" fontId="14" fillId="0" borderId="60" xfId="0" applyFont="1" applyBorder="1" applyAlignment="1" applyProtection="1">
      <alignment vertical="center"/>
    </xf>
    <xf numFmtId="0" fontId="14" fillId="0" borderId="119" xfId="0" applyFont="1" applyBorder="1" applyAlignment="1" applyProtection="1">
      <alignment vertical="center"/>
    </xf>
    <xf numFmtId="15" fontId="35" fillId="0" borderId="76" xfId="0" applyNumberFormat="1" applyFont="1" applyBorder="1" applyAlignment="1" applyProtection="1">
      <alignment vertical="center"/>
    </xf>
    <xf numFmtId="0" fontId="43" fillId="0" borderId="17" xfId="0" applyFont="1" applyBorder="1" applyAlignment="1" applyProtection="1">
      <alignment vertical="center"/>
    </xf>
    <xf numFmtId="0" fontId="43" fillId="0" borderId="183" xfId="0" applyFont="1" applyBorder="1" applyAlignment="1" applyProtection="1">
      <alignment vertical="center"/>
    </xf>
    <xf numFmtId="0" fontId="55" fillId="0" borderId="19" xfId="0" applyFont="1" applyBorder="1" applyAlignment="1" applyProtection="1">
      <alignment horizontal="left" vertical="center"/>
    </xf>
    <xf numFmtId="0" fontId="14" fillId="0" borderId="19" xfId="0" applyFont="1" applyBorder="1" applyAlignment="1" applyProtection="1">
      <alignment horizontal="left" vertical="center"/>
    </xf>
    <xf numFmtId="192" fontId="17" fillId="0" borderId="6" xfId="0" applyNumberFormat="1" applyFont="1" applyBorder="1" applyAlignment="1" applyProtection="1">
      <alignment horizontal="right" vertical="center"/>
    </xf>
    <xf numFmtId="0" fontId="14" fillId="0" borderId="6" xfId="0" applyFont="1" applyBorder="1" applyAlignment="1" applyProtection="1">
      <alignment horizontal="right" vertical="center"/>
    </xf>
    <xf numFmtId="0" fontId="17" fillId="0" borderId="0" xfId="0" applyFont="1" applyBorder="1" applyAlignment="1" applyProtection="1">
      <alignment horizontal="right" vertical="center"/>
    </xf>
    <xf numFmtId="49" fontId="55" fillId="0" borderId="19" xfId="0" applyNumberFormat="1" applyFont="1" applyBorder="1" applyAlignment="1" applyProtection="1">
      <alignment horizontal="left" vertical="center"/>
    </xf>
    <xf numFmtId="49" fontId="16" fillId="0" borderId="19" xfId="0" applyNumberFormat="1" applyFont="1" applyBorder="1" applyAlignment="1" applyProtection="1">
      <alignment horizontal="left" vertical="center"/>
    </xf>
    <xf numFmtId="49" fontId="55" fillId="0" borderId="52" xfId="0" applyNumberFormat="1" applyFont="1" applyBorder="1" applyAlignment="1" applyProtection="1">
      <alignment vertical="center"/>
    </xf>
    <xf numFmtId="0" fontId="14" fillId="0" borderId="52" xfId="0" applyFont="1" applyBorder="1" applyAlignment="1" applyProtection="1">
      <alignment vertical="center"/>
    </xf>
    <xf numFmtId="49" fontId="17" fillId="0" borderId="0" xfId="0" applyNumberFormat="1" applyFont="1" applyBorder="1" applyAlignment="1" applyProtection="1">
      <alignment horizontal="right" vertical="center"/>
    </xf>
    <xf numFmtId="49" fontId="16" fillId="0" borderId="0" xfId="0" applyNumberFormat="1" applyFont="1" applyBorder="1" applyAlignment="1" applyProtection="1">
      <alignment horizontal="right" vertical="center"/>
    </xf>
    <xf numFmtId="195" fontId="55" fillId="0" borderId="167" xfId="0" applyNumberFormat="1" applyFont="1" applyBorder="1" applyAlignment="1" applyProtection="1">
      <alignment horizontal="left" vertical="center"/>
    </xf>
    <xf numFmtId="195" fontId="33" fillId="0" borderId="182" xfId="0" applyNumberFormat="1" applyFont="1" applyBorder="1" applyAlignment="1" applyProtection="1">
      <alignment horizontal="left" vertical="center"/>
    </xf>
    <xf numFmtId="0" fontId="14" fillId="0" borderId="24" xfId="0" applyFont="1" applyBorder="1" applyAlignment="1" applyProtection="1">
      <alignment horizontal="left" vertical="center"/>
    </xf>
    <xf numFmtId="49" fontId="55" fillId="0" borderId="167" xfId="0" applyNumberFormat="1" applyFont="1" applyBorder="1" applyAlignment="1" applyProtection="1">
      <alignment vertical="center"/>
    </xf>
    <xf numFmtId="0" fontId="0" fillId="0" borderId="1" xfId="0" applyBorder="1" applyAlignment="1" applyProtection="1">
      <alignment vertical="center"/>
    </xf>
    <xf numFmtId="0" fontId="0" fillId="0" borderId="182" xfId="0" applyBorder="1" applyAlignment="1" applyProtection="1">
      <alignment vertical="center"/>
    </xf>
    <xf numFmtId="49" fontId="55" fillId="0" borderId="0" xfId="0" applyNumberFormat="1" applyFont="1" applyBorder="1" applyAlignment="1" applyProtection="1">
      <alignment vertical="center"/>
    </xf>
    <xf numFmtId="49" fontId="14" fillId="0" borderId="24" xfId="0" applyNumberFormat="1" applyFont="1" applyBorder="1" applyAlignment="1" applyProtection="1">
      <alignment vertical="center"/>
    </xf>
    <xf numFmtId="49" fontId="55" fillId="0" borderId="73" xfId="0" applyNumberFormat="1" applyFont="1" applyBorder="1" applyAlignment="1" applyProtection="1">
      <alignment vertical="center"/>
    </xf>
    <xf numFmtId="49" fontId="0" fillId="0" borderId="73" xfId="0" applyNumberFormat="1" applyBorder="1" applyAlignment="1" applyProtection="1">
      <alignment vertical="center"/>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9" fontId="5" fillId="0" borderId="2"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xf>
    <xf numFmtId="9" fontId="4" fillId="0" borderId="67" xfId="0" applyNumberFormat="1" applyFont="1" applyFill="1" applyBorder="1" applyAlignment="1" applyProtection="1">
      <alignment vertical="center" wrapText="1"/>
    </xf>
    <xf numFmtId="0" fontId="14" fillId="0" borderId="12"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0" xfId="0" applyFont="1" applyBorder="1" applyAlignment="1" applyProtection="1">
      <alignment horizontal="left" vertical="center" wrapText="1"/>
    </xf>
    <xf numFmtId="0" fontId="0" fillId="0" borderId="0" xfId="0" applyAlignment="1">
      <alignment vertical="center"/>
    </xf>
    <xf numFmtId="173" fontId="27" fillId="0" borderId="6" xfId="0" applyNumberFormat="1" applyFont="1" applyFill="1" applyBorder="1" applyAlignment="1" applyProtection="1">
      <alignment horizontal="right" vertical="center"/>
    </xf>
    <xf numFmtId="0" fontId="27" fillId="0" borderId="6" xfId="0" applyFont="1" applyBorder="1" applyAlignment="1" applyProtection="1">
      <alignment horizontal="right" vertical="center"/>
    </xf>
    <xf numFmtId="0" fontId="27" fillId="0" borderId="6" xfId="0" applyFont="1" applyBorder="1" applyAlignment="1" applyProtection="1">
      <alignment vertical="center"/>
    </xf>
    <xf numFmtId="9" fontId="4" fillId="0" borderId="2" xfId="0" applyNumberFormat="1" applyFont="1" applyFill="1" applyBorder="1" applyAlignment="1" applyProtection="1">
      <alignment vertical="center" wrapText="1"/>
    </xf>
    <xf numFmtId="9" fontId="61" fillId="0" borderId="67" xfId="0" applyNumberFormat="1" applyFont="1" applyFill="1" applyBorder="1" applyAlignment="1" applyProtection="1">
      <alignment vertical="center" wrapText="1"/>
    </xf>
    <xf numFmtId="173" fontId="27" fillId="0" borderId="5" xfId="0" applyNumberFormat="1" applyFont="1" applyFill="1" applyBorder="1" applyAlignment="1" applyProtection="1">
      <alignment horizontal="left" vertical="center"/>
    </xf>
    <xf numFmtId="0" fontId="10" fillId="0" borderId="5" xfId="0" applyFont="1" applyBorder="1" applyAlignment="1" applyProtection="1">
      <alignment horizontal="left" vertical="center"/>
    </xf>
    <xf numFmtId="9" fontId="5" fillId="0" borderId="9" xfId="0" applyNumberFormat="1" applyFont="1" applyFill="1" applyBorder="1" applyAlignment="1" applyProtection="1">
      <alignment vertical="center"/>
    </xf>
    <xf numFmtId="0" fontId="14" fillId="0" borderId="9" xfId="0" applyFont="1" applyBorder="1" applyAlignment="1" applyProtection="1">
      <alignment vertical="center"/>
    </xf>
    <xf numFmtId="0" fontId="100" fillId="3" borderId="32" xfId="13" applyFont="1" applyFill="1" applyBorder="1" applyAlignment="1" applyProtection="1">
      <alignment horizontal="right" vertical="center" wrapText="1"/>
      <protection locked="0"/>
    </xf>
    <xf numFmtId="0" fontId="0" fillId="0" borderId="32"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4" xfId="0" applyBorder="1" applyAlignment="1" applyProtection="1">
      <alignment vertical="center" wrapText="1"/>
      <protection locked="0"/>
    </xf>
    <xf numFmtId="49" fontId="80" fillId="0" borderId="167" xfId="0" applyNumberFormat="1" applyFont="1" applyBorder="1" applyAlignment="1" applyProtection="1">
      <alignment vertical="center"/>
    </xf>
    <xf numFmtId="49" fontId="14" fillId="0" borderId="1" xfId="0" applyNumberFormat="1" applyFont="1" applyBorder="1" applyAlignment="1" applyProtection="1">
      <alignment vertical="center"/>
    </xf>
    <xf numFmtId="49" fontId="35" fillId="0" borderId="36" xfId="0" applyNumberFormat="1" applyFont="1" applyBorder="1" applyAlignment="1" applyProtection="1">
      <alignment horizontal="center" vertical="center"/>
    </xf>
    <xf numFmtId="0" fontId="35" fillId="0" borderId="36" xfId="0" applyFont="1" applyBorder="1" applyAlignment="1" applyProtection="1">
      <alignment horizontal="center" vertical="center"/>
    </xf>
    <xf numFmtId="49" fontId="80" fillId="0" borderId="181" xfId="0" applyNumberFormat="1" applyFont="1" applyBorder="1" applyAlignment="1" applyProtection="1">
      <alignment vertical="center"/>
    </xf>
    <xf numFmtId="0" fontId="14" fillId="0" borderId="73" xfId="0" applyFont="1" applyBorder="1" applyAlignment="1" applyProtection="1">
      <alignment vertical="center"/>
    </xf>
    <xf numFmtId="0" fontId="14" fillId="0" borderId="139" xfId="0" applyFont="1" applyBorder="1" applyAlignment="1" applyProtection="1">
      <alignment vertical="center"/>
    </xf>
    <xf numFmtId="3" fontId="6" fillId="0" borderId="0" xfId="14" applyNumberFormat="1" applyFont="1" applyFill="1" applyBorder="1" applyAlignment="1" applyProtection="1">
      <alignment wrapText="1"/>
      <protection locked="0"/>
    </xf>
    <xf numFmtId="3" fontId="46" fillId="0" borderId="0" xfId="14" applyNumberFormat="1" applyFont="1" applyFill="1" applyBorder="1" applyAlignment="1" applyProtection="1">
      <alignment horizontal="center" vertical="center" wrapText="1"/>
      <protection locked="0"/>
    </xf>
    <xf numFmtId="0" fontId="15" fillId="0" borderId="2" xfId="0" applyFont="1" applyBorder="1" applyAlignment="1">
      <alignment horizontal="right" vertical="center"/>
    </xf>
    <xf numFmtId="0" fontId="14" fillId="0" borderId="0" xfId="0" applyFont="1" applyBorder="1" applyAlignment="1">
      <alignment horizontal="right" vertical="center"/>
    </xf>
    <xf numFmtId="192" fontId="31" fillId="0" borderId="19" xfId="0" applyNumberFormat="1" applyFont="1" applyBorder="1" applyAlignment="1">
      <alignment horizontal="left" vertical="center"/>
    </xf>
    <xf numFmtId="192" fontId="14" fillId="0" borderId="19" xfId="0" applyNumberFormat="1" applyFont="1" applyBorder="1" applyAlignment="1">
      <alignment horizontal="left" vertical="center"/>
    </xf>
    <xf numFmtId="49" fontId="33" fillId="0" borderId="19" xfId="0" applyNumberFormat="1" applyFont="1" applyBorder="1" applyAlignment="1">
      <alignment horizontal="left" vertical="center"/>
    </xf>
    <xf numFmtId="0" fontId="14" fillId="0" borderId="19" xfId="0" applyFont="1" applyBorder="1" applyAlignment="1">
      <alignment vertical="center"/>
    </xf>
    <xf numFmtId="0" fontId="14" fillId="0" borderId="0" xfId="0" applyFont="1" applyBorder="1" applyAlignment="1">
      <alignment vertical="center"/>
    </xf>
    <xf numFmtId="0" fontId="15" fillId="0" borderId="0" xfId="0" applyFont="1" applyFill="1" applyBorder="1" applyAlignment="1" applyProtection="1">
      <alignment horizontal="right" vertical="center"/>
    </xf>
    <xf numFmtId="0" fontId="15" fillId="0" borderId="0" xfId="0" applyFont="1" applyBorder="1" applyAlignment="1">
      <alignment horizontal="right" vertical="center"/>
    </xf>
    <xf numFmtId="49" fontId="36" fillId="0" borderId="19" xfId="0" applyNumberFormat="1" applyFont="1" applyBorder="1" applyAlignment="1">
      <alignment horizontal="right" vertical="center"/>
    </xf>
    <xf numFmtId="0" fontId="38" fillId="0" borderId="19" xfId="0" applyFont="1" applyBorder="1" applyAlignment="1">
      <alignment horizontal="right" vertical="center"/>
    </xf>
    <xf numFmtId="49" fontId="33" fillId="0" borderId="24" xfId="0" applyNumberFormat="1" applyFont="1" applyBorder="1" applyAlignment="1">
      <alignment horizontal="left" vertical="center"/>
    </xf>
    <xf numFmtId="0" fontId="0" fillId="0" borderId="24" xfId="0" applyBorder="1" applyAlignment="1">
      <alignment horizontal="left" vertical="center"/>
    </xf>
    <xf numFmtId="0" fontId="17" fillId="12" borderId="58" xfId="0" applyFont="1" applyFill="1" applyBorder="1" applyAlignment="1" applyProtection="1">
      <alignment horizontal="right" vertical="center" wrapText="1"/>
    </xf>
    <xf numFmtId="0" fontId="17" fillId="12" borderId="5" xfId="0" applyFont="1" applyFill="1" applyBorder="1" applyAlignment="1" applyProtection="1">
      <alignment horizontal="right" vertical="center" wrapText="1"/>
    </xf>
    <xf numFmtId="0" fontId="16" fillId="12" borderId="5" xfId="0" applyFont="1" applyFill="1" applyBorder="1" applyAlignment="1" applyProtection="1">
      <alignment horizontal="right" vertical="center" wrapText="1"/>
    </xf>
    <xf numFmtId="0" fontId="16" fillId="0" borderId="5" xfId="0" applyFont="1" applyBorder="1" applyAlignment="1">
      <alignment horizontal="right" vertical="center" wrapText="1"/>
    </xf>
    <xf numFmtId="0" fontId="4" fillId="6" borderId="58" xfId="0" applyFont="1" applyFill="1" applyBorder="1" applyAlignment="1" applyProtection="1">
      <alignment horizontal="left" vertical="center" wrapText="1"/>
    </xf>
    <xf numFmtId="0" fontId="4" fillId="6" borderId="5" xfId="0" applyFont="1" applyFill="1" applyBorder="1" applyAlignment="1" applyProtection="1">
      <alignment horizontal="left" vertical="center" wrapText="1"/>
    </xf>
    <xf numFmtId="0" fontId="31" fillId="4" borderId="7" xfId="0" applyFont="1" applyFill="1" applyBorder="1" applyAlignment="1" applyProtection="1">
      <alignment horizontal="left" vertical="center" wrapText="1"/>
    </xf>
    <xf numFmtId="0" fontId="31" fillId="4" borderId="6" xfId="0" applyFont="1" applyFill="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6" xfId="0" applyFont="1" applyBorder="1" applyAlignment="1">
      <alignment vertical="center" wrapText="1"/>
    </xf>
    <xf numFmtId="0" fontId="17" fillId="12" borderId="5" xfId="0" applyFont="1" applyFill="1" applyBorder="1" applyAlignment="1" applyProtection="1">
      <alignment horizontal="right" vertical="center"/>
    </xf>
    <xf numFmtId="0" fontId="57" fillId="0" borderId="178" xfId="0" applyFont="1" applyFill="1" applyBorder="1" applyAlignment="1" applyProtection="1">
      <alignment horizontal="center" vertical="center" wrapText="1"/>
    </xf>
    <xf numFmtId="0" fontId="57" fillId="0" borderId="85" xfId="0" applyFont="1" applyFill="1" applyBorder="1" applyAlignment="1" applyProtection="1">
      <alignment horizontal="center" vertical="center" wrapText="1"/>
    </xf>
    <xf numFmtId="0" fontId="62" fillId="0" borderId="85" xfId="0" applyFont="1" applyBorder="1" applyAlignment="1" applyProtection="1">
      <alignment horizontal="center" vertical="center" wrapText="1"/>
    </xf>
    <xf numFmtId="0" fontId="16" fillId="0" borderId="52" xfId="0" applyFont="1" applyBorder="1" applyAlignment="1">
      <alignment horizontal="right" vertical="center" wrapText="1"/>
    </xf>
    <xf numFmtId="0" fontId="16" fillId="0" borderId="53" xfId="0" applyFont="1" applyBorder="1" applyAlignment="1">
      <alignment horizontal="right" vertical="center" wrapText="1"/>
    </xf>
    <xf numFmtId="0" fontId="31" fillId="4" borderId="71" xfId="0" applyFont="1" applyFill="1" applyBorder="1" applyAlignment="1" applyProtection="1">
      <alignment horizontal="center" vertical="center" wrapText="1"/>
    </xf>
    <xf numFmtId="0" fontId="31" fillId="4" borderId="60" xfId="0" applyFont="1" applyFill="1" applyBorder="1" applyAlignment="1" applyProtection="1">
      <alignment horizontal="center" vertical="center" wrapText="1"/>
    </xf>
    <xf numFmtId="0" fontId="30" fillId="4" borderId="60" xfId="0" applyFont="1" applyFill="1" applyBorder="1" applyAlignment="1" applyProtection="1">
      <alignment horizontal="center" vertical="center" wrapText="1"/>
    </xf>
    <xf numFmtId="0" fontId="16" fillId="0" borderId="170" xfId="0" applyFont="1" applyBorder="1" applyAlignment="1" applyProtection="1">
      <alignment horizontal="right" vertical="center" wrapText="1"/>
    </xf>
    <xf numFmtId="0" fontId="16" fillId="0" borderId="171" xfId="0" applyFont="1" applyBorder="1" applyAlignment="1" applyProtection="1">
      <alignment horizontal="right" vertical="center" wrapText="1"/>
    </xf>
    <xf numFmtId="0" fontId="16" fillId="0" borderId="171" xfId="0" applyFont="1" applyBorder="1" applyAlignment="1">
      <alignment horizontal="right" vertical="center" wrapText="1"/>
    </xf>
    <xf numFmtId="0" fontId="16" fillId="0" borderId="5" xfId="0" applyFont="1" applyBorder="1" applyAlignment="1" applyProtection="1">
      <alignment horizontal="right" vertical="center" wrapText="1"/>
    </xf>
    <xf numFmtId="0" fontId="14" fillId="0" borderId="6" xfId="0" applyFont="1" applyBorder="1" applyAlignment="1" applyProtection="1">
      <alignment vertical="center" wrapText="1"/>
    </xf>
    <xf numFmtId="0" fontId="17" fillId="12" borderId="59" xfId="0" applyFont="1" applyFill="1" applyBorder="1" applyAlignment="1" applyProtection="1">
      <alignment horizontal="right" vertical="center"/>
    </xf>
    <xf numFmtId="49" fontId="14" fillId="0" borderId="84" xfId="0" applyNumberFormat="1" applyFont="1" applyBorder="1" applyAlignment="1" applyProtection="1">
      <alignment vertical="center"/>
    </xf>
    <xf numFmtId="0" fontId="0" fillId="0" borderId="21" xfId="0" applyBorder="1" applyAlignment="1"/>
    <xf numFmtId="0" fontId="0" fillId="0" borderId="101" xfId="0" applyBorder="1" applyAlignment="1"/>
    <xf numFmtId="0" fontId="15" fillId="0" borderId="2" xfId="0" applyFont="1" applyBorder="1" applyAlignment="1" applyProtection="1">
      <alignment horizontal="right" vertical="center"/>
    </xf>
    <xf numFmtId="0" fontId="14" fillId="0" borderId="0" xfId="0" applyFont="1" applyBorder="1" applyAlignment="1" applyProtection="1">
      <alignment horizontal="right" vertical="center"/>
    </xf>
    <xf numFmtId="192" fontId="31" fillId="0" borderId="19" xfId="0" applyNumberFormat="1" applyFont="1" applyBorder="1" applyAlignment="1" applyProtection="1">
      <alignment horizontal="left" vertical="center"/>
    </xf>
    <xf numFmtId="192" fontId="14" fillId="0" borderId="19" xfId="0" applyNumberFormat="1" applyFont="1" applyBorder="1" applyAlignment="1" applyProtection="1">
      <alignment horizontal="left" vertical="center"/>
    </xf>
    <xf numFmtId="0" fontId="15" fillId="0" borderId="0" xfId="0" applyFont="1" applyBorder="1" applyAlignment="1" applyProtection="1">
      <alignment horizontal="right" vertical="center"/>
    </xf>
    <xf numFmtId="49" fontId="36" fillId="0" borderId="19" xfId="0" applyNumberFormat="1" applyFont="1" applyBorder="1" applyAlignment="1" applyProtection="1">
      <alignment horizontal="right" vertical="center"/>
    </xf>
    <xf numFmtId="0" fontId="38" fillId="0" borderId="19" xfId="0" applyFont="1" applyBorder="1" applyAlignment="1" applyProtection="1">
      <alignment horizontal="right" vertical="center"/>
    </xf>
    <xf numFmtId="49" fontId="33" fillId="0" borderId="24" xfId="0" applyNumberFormat="1" applyFont="1" applyBorder="1" applyAlignment="1" applyProtection="1">
      <alignment horizontal="left" vertical="center"/>
    </xf>
    <xf numFmtId="0" fontId="0" fillId="0" borderId="24" xfId="0" applyBorder="1" applyAlignment="1" applyProtection="1">
      <alignment horizontal="left" vertical="center"/>
    </xf>
    <xf numFmtId="0" fontId="42" fillId="0" borderId="9" xfId="0" applyFont="1" applyBorder="1" applyAlignment="1">
      <alignment vertical="center"/>
    </xf>
    <xf numFmtId="0" fontId="43" fillId="0" borderId="10" xfId="0" applyFont="1" applyBorder="1" applyAlignment="1">
      <alignment vertical="center"/>
    </xf>
    <xf numFmtId="0" fontId="86" fillId="0" borderId="0" xfId="0" applyFont="1" applyBorder="1" applyAlignment="1" applyProtection="1">
      <alignment horizontal="center" vertical="center"/>
    </xf>
    <xf numFmtId="0" fontId="87" fillId="0" borderId="0" xfId="0" applyFont="1" applyBorder="1" applyAlignment="1" applyProtection="1">
      <alignment horizontal="center" vertical="center"/>
    </xf>
    <xf numFmtId="0" fontId="60" fillId="0" borderId="0" xfId="0" applyFont="1" applyBorder="1" applyAlignment="1" applyProtection="1">
      <alignment vertical="center"/>
    </xf>
    <xf numFmtId="0" fontId="36" fillId="0" borderId="84" xfId="0" applyFont="1" applyBorder="1" applyAlignment="1" applyProtection="1">
      <alignment horizontal="right" vertical="center"/>
    </xf>
    <xf numFmtId="0" fontId="36" fillId="0" borderId="21" xfId="0" applyFont="1" applyBorder="1" applyAlignment="1" applyProtection="1">
      <alignment horizontal="right" vertical="center"/>
    </xf>
    <xf numFmtId="0" fontId="14" fillId="0" borderId="21" xfId="0" applyFont="1" applyBorder="1" applyAlignment="1">
      <alignment vertical="center"/>
    </xf>
    <xf numFmtId="184" fontId="29" fillId="0" borderId="0" xfId="0" applyNumberFormat="1" applyFont="1" applyBorder="1" applyAlignment="1" applyProtection="1">
      <alignment horizontal="left" vertical="center"/>
    </xf>
    <xf numFmtId="184" fontId="14" fillId="0" borderId="0" xfId="0" applyNumberFormat="1" applyFont="1" applyBorder="1" applyAlignment="1" applyProtection="1">
      <alignment horizontal="left" vertical="center"/>
    </xf>
    <xf numFmtId="0" fontId="7" fillId="0" borderId="184" xfId="0" applyFont="1" applyFill="1" applyBorder="1" applyAlignment="1" applyProtection="1">
      <alignment horizontal="right" vertical="center"/>
    </xf>
    <xf numFmtId="0" fontId="4" fillId="0" borderId="6" xfId="0" applyFont="1" applyBorder="1" applyAlignment="1" applyProtection="1">
      <alignment vertical="center"/>
    </xf>
    <xf numFmtId="0" fontId="7" fillId="0" borderId="8" xfId="0" applyFont="1" applyBorder="1" applyAlignment="1" applyProtection="1">
      <alignment horizontal="right" vertical="center" wrapText="1"/>
    </xf>
    <xf numFmtId="0" fontId="14" fillId="0" borderId="9" xfId="0" applyFont="1" applyBorder="1" applyAlignment="1" applyProtection="1">
      <alignment horizontal="right" vertical="center" wrapText="1"/>
    </xf>
    <xf numFmtId="49" fontId="33" fillId="0" borderId="19" xfId="0" quotePrefix="1" applyNumberFormat="1" applyFont="1" applyFill="1" applyBorder="1" applyAlignment="1" applyProtection="1">
      <alignment horizontal="left" vertical="center" wrapText="1"/>
    </xf>
    <xf numFmtId="0" fontId="14" fillId="0" borderId="19" xfId="0" applyFont="1" applyBorder="1" applyAlignment="1">
      <alignment vertical="center" wrapText="1"/>
    </xf>
    <xf numFmtId="0" fontId="4" fillId="0" borderId="2" xfId="0" applyFont="1" applyBorder="1" applyAlignment="1" applyProtection="1">
      <alignment horizontal="left" vertical="center" wrapText="1"/>
    </xf>
    <xf numFmtId="0" fontId="4" fillId="0" borderId="0" xfId="0" applyFont="1" applyBorder="1" applyAlignment="1" applyProtection="1">
      <alignment vertical="center" wrapText="1"/>
    </xf>
    <xf numFmtId="0" fontId="4" fillId="0" borderId="2" xfId="0" applyFont="1" applyBorder="1" applyAlignment="1" applyProtection="1">
      <alignment vertical="center" wrapText="1"/>
    </xf>
    <xf numFmtId="195" fontId="29" fillId="0" borderId="19" xfId="0" applyNumberFormat="1" applyFont="1" applyFill="1" applyBorder="1" applyAlignment="1" applyProtection="1">
      <alignment horizontal="left" vertical="center"/>
    </xf>
    <xf numFmtId="195" fontId="14" fillId="0" borderId="19" xfId="0" applyNumberFormat="1" applyFont="1" applyBorder="1" applyAlignment="1" applyProtection="1">
      <alignment vertical="center"/>
    </xf>
    <xf numFmtId="49" fontId="33" fillId="0" borderId="19" xfId="0" applyNumberFormat="1" applyFont="1" applyBorder="1" applyAlignment="1" applyProtection="1">
      <alignment vertical="center"/>
    </xf>
    <xf numFmtId="0" fontId="4" fillId="0" borderId="0" xfId="0" applyFont="1" applyFill="1" applyBorder="1" applyAlignment="1" applyProtection="1">
      <alignment horizontal="left" vertical="center" wrapText="1"/>
    </xf>
    <xf numFmtId="0" fontId="47" fillId="0" borderId="2" xfId="0" applyFont="1" applyBorder="1" applyAlignment="1" applyProtection="1">
      <alignment vertical="center" wrapText="1"/>
    </xf>
    <xf numFmtId="0" fontId="7" fillId="0" borderId="87" xfId="0" applyFont="1" applyFill="1" applyBorder="1" applyAlignment="1" applyProtection="1">
      <alignment horizontal="left" vertical="center"/>
    </xf>
    <xf numFmtId="0" fontId="4" fillId="0" borderId="9" xfId="0" applyFont="1" applyBorder="1" applyAlignment="1" applyProtection="1">
      <alignment horizontal="left" vertical="center"/>
    </xf>
    <xf numFmtId="0" fontId="4" fillId="0" borderId="43" xfId="0" applyFont="1" applyBorder="1" applyAlignment="1" applyProtection="1">
      <alignment horizontal="left" vertical="center"/>
    </xf>
    <xf numFmtId="0" fontId="50" fillId="0" borderId="2" xfId="0" applyFont="1" applyBorder="1" applyAlignment="1">
      <alignment horizontal="right" vertical="center"/>
    </xf>
    <xf numFmtId="0" fontId="50" fillId="0" borderId="0" xfId="0" applyFont="1" applyBorder="1" applyAlignment="1">
      <alignment horizontal="right" vertical="center"/>
    </xf>
    <xf numFmtId="0" fontId="16" fillId="0" borderId="54" xfId="0" applyFont="1" applyBorder="1" applyAlignment="1">
      <alignment horizontal="right" vertical="center"/>
    </xf>
    <xf numFmtId="0" fontId="17" fillId="0" borderId="0" xfId="0" applyFont="1" applyBorder="1" applyAlignment="1">
      <alignment horizontal="right" vertical="center"/>
    </xf>
    <xf numFmtId="14" fontId="16" fillId="3" borderId="84" xfId="0" applyNumberFormat="1" applyFont="1" applyFill="1" applyBorder="1" applyAlignment="1" applyProtection="1">
      <alignment vertical="center"/>
      <protection locked="0"/>
    </xf>
    <xf numFmtId="14" fontId="16" fillId="3" borderId="21" xfId="0" applyNumberFormat="1" applyFont="1" applyFill="1" applyBorder="1" applyAlignment="1" applyProtection="1">
      <alignment vertical="center"/>
      <protection locked="0"/>
    </xf>
    <xf numFmtId="14" fontId="16" fillId="3" borderId="45" xfId="0" applyNumberFormat="1" applyFont="1" applyFill="1" applyBorder="1" applyAlignment="1" applyProtection="1">
      <alignment vertical="center"/>
      <protection locked="0"/>
    </xf>
    <xf numFmtId="0" fontId="14" fillId="0" borderId="7" xfId="0" applyFont="1" applyBorder="1" applyAlignment="1">
      <alignment horizontal="right" vertical="center"/>
    </xf>
    <xf numFmtId="0" fontId="14" fillId="0" borderId="6" xfId="0" applyFont="1" applyBorder="1" applyAlignment="1">
      <alignment horizontal="right" vertical="center"/>
    </xf>
    <xf numFmtId="0" fontId="19" fillId="3" borderId="26" xfId="0" applyFont="1" applyFill="1" applyBorder="1" applyAlignment="1" applyProtection="1">
      <alignment vertical="center"/>
      <protection locked="0"/>
    </xf>
    <xf numFmtId="0" fontId="19" fillId="3" borderId="46" xfId="0" applyFont="1" applyFill="1" applyBorder="1" applyAlignment="1" applyProtection="1">
      <alignment vertical="center"/>
      <protection locked="0"/>
    </xf>
    <xf numFmtId="0" fontId="17" fillId="0" borderId="8" xfId="0" applyFont="1" applyBorder="1" applyAlignment="1">
      <alignment horizontal="right" vertical="center"/>
    </xf>
    <xf numFmtId="0" fontId="17" fillId="0" borderId="9" xfId="0" applyFont="1" applyBorder="1" applyAlignment="1">
      <alignment horizontal="right" vertical="center"/>
    </xf>
    <xf numFmtId="0" fontId="17" fillId="0" borderId="43" xfId="0" applyFont="1" applyBorder="1" applyAlignment="1">
      <alignment horizontal="right" vertical="center"/>
    </xf>
    <xf numFmtId="0" fontId="19" fillId="3" borderId="64" xfId="0" applyFont="1" applyFill="1" applyBorder="1" applyAlignment="1" applyProtection="1">
      <alignment vertical="center"/>
      <protection locked="0"/>
    </xf>
    <xf numFmtId="0" fontId="19" fillId="3" borderId="65" xfId="0" applyFont="1" applyFill="1" applyBorder="1" applyAlignment="1" applyProtection="1">
      <alignment vertical="center"/>
      <protection locked="0"/>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19" fillId="3" borderId="187" xfId="0" applyFont="1" applyFill="1" applyBorder="1" applyAlignment="1" applyProtection="1">
      <alignment vertical="center"/>
      <protection locked="0"/>
    </xf>
    <xf numFmtId="0" fontId="19" fillId="3" borderId="41" xfId="0" applyFont="1" applyFill="1" applyBorder="1" applyAlignment="1" applyProtection="1">
      <alignment vertical="center"/>
      <protection locked="0"/>
    </xf>
    <xf numFmtId="0" fontId="19" fillId="3" borderId="191" xfId="0" applyFont="1" applyFill="1" applyBorder="1" applyAlignment="1" applyProtection="1">
      <alignment vertical="center"/>
      <protection locked="0"/>
    </xf>
    <xf numFmtId="0" fontId="19" fillId="3" borderId="192" xfId="0" applyFont="1" applyFill="1" applyBorder="1" applyAlignment="1" applyProtection="1">
      <alignment vertical="center"/>
      <protection locked="0"/>
    </xf>
    <xf numFmtId="0" fontId="15" fillId="0" borderId="84" xfId="0" applyFont="1" applyBorder="1" applyAlignment="1">
      <alignment horizontal="center" vertical="center" wrapText="1"/>
    </xf>
    <xf numFmtId="0" fontId="15" fillId="0" borderId="101" xfId="0" applyFont="1" applyBorder="1" applyAlignment="1">
      <alignment horizontal="center" vertical="center" wrapText="1"/>
    </xf>
    <xf numFmtId="0" fontId="19" fillId="3" borderId="23" xfId="0" applyFont="1" applyFill="1" applyBorder="1" applyAlignment="1" applyProtection="1">
      <protection locked="0"/>
    </xf>
    <xf numFmtId="0" fontId="19" fillId="3" borderId="190" xfId="0" applyFont="1" applyFill="1" applyBorder="1" applyAlignment="1" applyProtection="1">
      <protection locked="0"/>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101" xfId="0" applyFont="1" applyBorder="1" applyAlignment="1">
      <alignment horizontal="center" vertical="center"/>
    </xf>
    <xf numFmtId="0" fontId="19" fillId="3" borderId="188" xfId="0" applyFont="1" applyFill="1" applyBorder="1" applyAlignment="1" applyProtection="1">
      <protection locked="0"/>
    </xf>
    <xf numFmtId="0" fontId="19" fillId="3" borderId="189" xfId="0" applyFont="1" applyFill="1" applyBorder="1" applyAlignment="1" applyProtection="1">
      <protection locked="0"/>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01" xfId="0" applyFont="1" applyBorder="1" applyAlignment="1">
      <alignment horizontal="center" vertical="center"/>
    </xf>
    <xf numFmtId="0" fontId="15" fillId="0" borderId="7" xfId="0" applyFont="1" applyBorder="1" applyAlignment="1">
      <alignment horizontal="right" vertical="center"/>
    </xf>
    <xf numFmtId="0" fontId="15" fillId="0" borderId="6" xfId="0" applyFont="1" applyBorder="1" applyAlignment="1">
      <alignment horizontal="right" vertical="center"/>
    </xf>
    <xf numFmtId="0" fontId="19" fillId="3" borderId="193" xfId="0" applyFont="1" applyFill="1" applyBorder="1" applyAlignment="1" applyProtection="1">
      <alignment vertical="center"/>
      <protection locked="0"/>
    </xf>
    <xf numFmtId="0" fontId="19" fillId="3" borderId="194" xfId="0" applyFont="1" applyFill="1" applyBorder="1" applyAlignment="1" applyProtection="1">
      <alignment vertical="center"/>
      <protection locked="0"/>
    </xf>
    <xf numFmtId="0" fontId="19" fillId="3" borderId="195" xfId="0" applyFont="1" applyFill="1" applyBorder="1" applyAlignment="1" applyProtection="1">
      <alignment vertical="center"/>
      <protection locked="0"/>
    </xf>
    <xf numFmtId="0" fontId="14" fillId="0" borderId="84" xfId="0" applyFont="1" applyBorder="1" applyAlignment="1">
      <alignment vertical="center" wrapText="1"/>
    </xf>
    <xf numFmtId="0" fontId="14" fillId="0" borderId="21" xfId="0" applyFont="1" applyBorder="1" applyAlignment="1">
      <alignment vertical="center" wrapText="1"/>
    </xf>
    <xf numFmtId="0" fontId="14" fillId="0" borderId="101" xfId="0" applyFont="1" applyBorder="1" applyAlignment="1">
      <alignment vertical="center" wrapText="1"/>
    </xf>
    <xf numFmtId="0" fontId="19" fillId="3" borderId="23" xfId="0" applyFont="1" applyFill="1" applyBorder="1" applyAlignment="1" applyProtection="1">
      <alignment vertical="center"/>
      <protection locked="0"/>
    </xf>
    <xf numFmtId="0" fontId="19" fillId="3" borderId="189" xfId="0" applyFont="1" applyFill="1" applyBorder="1" applyAlignment="1" applyProtection="1">
      <alignment vertical="center"/>
      <protection locked="0"/>
    </xf>
    <xf numFmtId="0" fontId="19" fillId="3" borderId="190" xfId="0" applyFont="1" applyFill="1" applyBorder="1" applyAlignment="1" applyProtection="1">
      <alignment vertical="center"/>
      <protection locked="0"/>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49</xdr:row>
      <xdr:rowOff>0</xdr:rowOff>
    </xdr:to>
    <xdr:sp macro="" textlink="">
      <xdr:nvSpPr>
        <xdr:cNvPr id="3280" name="AutoShape 23"/>
        <xdr:cNvSpPr>
          <a:spLocks/>
        </xdr:cNvSpPr>
      </xdr:nvSpPr>
      <xdr:spPr bwMode="auto">
        <a:xfrm>
          <a:off x="0" y="156019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52</xdr:row>
      <xdr:rowOff>647700</xdr:rowOff>
    </xdr:from>
    <xdr:to>
      <xdr:col>0</xdr:col>
      <xdr:colOff>0</xdr:colOff>
      <xdr:row>55</xdr:row>
      <xdr:rowOff>0</xdr:rowOff>
    </xdr:to>
    <xdr:sp macro="" textlink="">
      <xdr:nvSpPr>
        <xdr:cNvPr id="3281" name="AutoShape 27"/>
        <xdr:cNvSpPr>
          <a:spLocks/>
        </xdr:cNvSpPr>
      </xdr:nvSpPr>
      <xdr:spPr bwMode="auto">
        <a:xfrm>
          <a:off x="0" y="17735550"/>
          <a:ext cx="0" cy="7715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56</xdr:row>
      <xdr:rowOff>647700</xdr:rowOff>
    </xdr:from>
    <xdr:to>
      <xdr:col>0</xdr:col>
      <xdr:colOff>0</xdr:colOff>
      <xdr:row>57</xdr:row>
      <xdr:rowOff>0</xdr:rowOff>
    </xdr:to>
    <xdr:sp macro="" textlink="">
      <xdr:nvSpPr>
        <xdr:cNvPr id="3282" name="AutoShape 30"/>
        <xdr:cNvSpPr>
          <a:spLocks/>
        </xdr:cNvSpPr>
      </xdr:nvSpPr>
      <xdr:spPr bwMode="auto">
        <a:xfrm>
          <a:off x="0" y="192690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28575</xdr:rowOff>
    </xdr:from>
    <xdr:to>
      <xdr:col>0</xdr:col>
      <xdr:colOff>0</xdr:colOff>
      <xdr:row>45</xdr:row>
      <xdr:rowOff>542925</xdr:rowOff>
    </xdr:to>
    <xdr:sp macro="" textlink="">
      <xdr:nvSpPr>
        <xdr:cNvPr id="3283" name="AutoShape 32"/>
        <xdr:cNvSpPr>
          <a:spLocks/>
        </xdr:cNvSpPr>
      </xdr:nvSpPr>
      <xdr:spPr bwMode="auto">
        <a:xfrm>
          <a:off x="0" y="10582275"/>
          <a:ext cx="0" cy="37147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152400</xdr:colOff>
      <xdr:row>1</xdr:row>
      <xdr:rowOff>85725</xdr:rowOff>
    </xdr:from>
    <xdr:to>
      <xdr:col>3</xdr:col>
      <xdr:colOff>762000</xdr:colOff>
      <xdr:row>2</xdr:row>
      <xdr:rowOff>390525</xdr:rowOff>
    </xdr:to>
    <xdr:pic>
      <xdr:nvPicPr>
        <xdr:cNvPr id="3284" name="Picture 1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76275"/>
          <a:ext cx="35052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19494" name="AutoShape 1"/>
        <xdr:cNvSpPr>
          <a:spLocks/>
        </xdr:cNvSpPr>
      </xdr:nvSpPr>
      <xdr:spPr bwMode="auto">
        <a:xfrm>
          <a:off x="0" y="1594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53</xdr:row>
      <xdr:rowOff>647700</xdr:rowOff>
    </xdr:from>
    <xdr:to>
      <xdr:col>0</xdr:col>
      <xdr:colOff>0</xdr:colOff>
      <xdr:row>56</xdr:row>
      <xdr:rowOff>0</xdr:rowOff>
    </xdr:to>
    <xdr:sp macro="" textlink="">
      <xdr:nvSpPr>
        <xdr:cNvPr id="19495" name="AutoShape 2"/>
        <xdr:cNvSpPr>
          <a:spLocks/>
        </xdr:cNvSpPr>
      </xdr:nvSpPr>
      <xdr:spPr bwMode="auto">
        <a:xfrm>
          <a:off x="0" y="18078450"/>
          <a:ext cx="0" cy="7715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57</xdr:row>
      <xdr:rowOff>647700</xdr:rowOff>
    </xdr:from>
    <xdr:to>
      <xdr:col>0</xdr:col>
      <xdr:colOff>0</xdr:colOff>
      <xdr:row>58</xdr:row>
      <xdr:rowOff>0</xdr:rowOff>
    </xdr:to>
    <xdr:sp macro="" textlink="">
      <xdr:nvSpPr>
        <xdr:cNvPr id="19496" name="AutoShape 3"/>
        <xdr:cNvSpPr>
          <a:spLocks/>
        </xdr:cNvSpPr>
      </xdr:nvSpPr>
      <xdr:spPr bwMode="auto">
        <a:xfrm>
          <a:off x="0" y="19611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28575</xdr:rowOff>
    </xdr:from>
    <xdr:to>
      <xdr:col>0</xdr:col>
      <xdr:colOff>0</xdr:colOff>
      <xdr:row>45</xdr:row>
      <xdr:rowOff>542925</xdr:rowOff>
    </xdr:to>
    <xdr:sp macro="" textlink="">
      <xdr:nvSpPr>
        <xdr:cNvPr id="19497" name="AutoShape 4"/>
        <xdr:cNvSpPr>
          <a:spLocks/>
        </xdr:cNvSpPr>
      </xdr:nvSpPr>
      <xdr:spPr bwMode="auto">
        <a:xfrm>
          <a:off x="0" y="10544175"/>
          <a:ext cx="0" cy="37147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57150</xdr:colOff>
      <xdr:row>1</xdr:row>
      <xdr:rowOff>76200</xdr:rowOff>
    </xdr:from>
    <xdr:to>
      <xdr:col>3</xdr:col>
      <xdr:colOff>2238375</xdr:colOff>
      <xdr:row>2</xdr:row>
      <xdr:rowOff>381000</xdr:rowOff>
    </xdr:to>
    <xdr:pic>
      <xdr:nvPicPr>
        <xdr:cNvPr id="19498"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666750"/>
          <a:ext cx="34099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128</xdr:row>
      <xdr:rowOff>28575</xdr:rowOff>
    </xdr:from>
    <xdr:to>
      <xdr:col>15</xdr:col>
      <xdr:colOff>190500</xdr:colOff>
      <xdr:row>129</xdr:row>
      <xdr:rowOff>152400</xdr:rowOff>
    </xdr:to>
    <xdr:sp macro="" textlink="">
      <xdr:nvSpPr>
        <xdr:cNvPr id="1122" name="AutoShape 6"/>
        <xdr:cNvSpPr>
          <a:spLocks/>
        </xdr:cNvSpPr>
      </xdr:nvSpPr>
      <xdr:spPr bwMode="auto">
        <a:xfrm>
          <a:off x="10134600" y="255841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125</xdr:row>
      <xdr:rowOff>28575</xdr:rowOff>
    </xdr:from>
    <xdr:to>
      <xdr:col>15</xdr:col>
      <xdr:colOff>190500</xdr:colOff>
      <xdr:row>126</xdr:row>
      <xdr:rowOff>152400</xdr:rowOff>
    </xdr:to>
    <xdr:sp macro="" textlink="">
      <xdr:nvSpPr>
        <xdr:cNvPr id="1123" name="AutoShape 7"/>
        <xdr:cNvSpPr>
          <a:spLocks/>
        </xdr:cNvSpPr>
      </xdr:nvSpPr>
      <xdr:spPr bwMode="auto">
        <a:xfrm>
          <a:off x="10134600" y="250698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156</xdr:row>
      <xdr:rowOff>28575</xdr:rowOff>
    </xdr:from>
    <xdr:to>
      <xdr:col>15</xdr:col>
      <xdr:colOff>190500</xdr:colOff>
      <xdr:row>157</xdr:row>
      <xdr:rowOff>152400</xdr:rowOff>
    </xdr:to>
    <xdr:sp macro="" textlink="">
      <xdr:nvSpPr>
        <xdr:cNvPr id="1124" name="AutoShape 8"/>
        <xdr:cNvSpPr>
          <a:spLocks/>
        </xdr:cNvSpPr>
      </xdr:nvSpPr>
      <xdr:spPr bwMode="auto">
        <a:xfrm>
          <a:off x="10134600" y="305752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159</xdr:row>
      <xdr:rowOff>28575</xdr:rowOff>
    </xdr:from>
    <xdr:to>
      <xdr:col>15</xdr:col>
      <xdr:colOff>190500</xdr:colOff>
      <xdr:row>160</xdr:row>
      <xdr:rowOff>152400</xdr:rowOff>
    </xdr:to>
    <xdr:sp macro="" textlink="">
      <xdr:nvSpPr>
        <xdr:cNvPr id="1125" name="AutoShape 9"/>
        <xdr:cNvSpPr>
          <a:spLocks/>
        </xdr:cNvSpPr>
      </xdr:nvSpPr>
      <xdr:spPr bwMode="auto">
        <a:xfrm>
          <a:off x="10134600" y="311467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1333500</xdr:colOff>
      <xdr:row>121</xdr:row>
      <xdr:rowOff>85725</xdr:rowOff>
    </xdr:from>
    <xdr:to>
      <xdr:col>15</xdr:col>
      <xdr:colOff>209550</xdr:colOff>
      <xdr:row>124</xdr:row>
      <xdr:rowOff>0</xdr:rowOff>
    </xdr:to>
    <xdr:sp macro="" textlink="">
      <xdr:nvSpPr>
        <xdr:cNvPr id="1126" name="AutoShape 12"/>
        <xdr:cNvSpPr>
          <a:spLocks/>
        </xdr:cNvSpPr>
      </xdr:nvSpPr>
      <xdr:spPr bwMode="auto">
        <a:xfrm>
          <a:off x="10096500" y="24536400"/>
          <a:ext cx="247650" cy="400050"/>
        </a:xfrm>
        <a:prstGeom prst="rightBrace">
          <a:avLst>
            <a:gd name="adj1" fmla="val 13462"/>
            <a:gd name="adj2" fmla="val 52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xdr:colOff>
      <xdr:row>131</xdr:row>
      <xdr:rowOff>57150</xdr:rowOff>
    </xdr:from>
    <xdr:to>
      <xdr:col>15</xdr:col>
      <xdr:colOff>295275</xdr:colOff>
      <xdr:row>132</xdr:row>
      <xdr:rowOff>152400</xdr:rowOff>
    </xdr:to>
    <xdr:sp macro="" textlink="">
      <xdr:nvSpPr>
        <xdr:cNvPr id="1127" name="AutoShape 13"/>
        <xdr:cNvSpPr>
          <a:spLocks/>
        </xdr:cNvSpPr>
      </xdr:nvSpPr>
      <xdr:spPr bwMode="auto">
        <a:xfrm>
          <a:off x="10144125" y="26117550"/>
          <a:ext cx="285750" cy="28575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133</xdr:row>
      <xdr:rowOff>85725</xdr:rowOff>
    </xdr:from>
    <xdr:to>
      <xdr:col>15</xdr:col>
      <xdr:colOff>190500</xdr:colOff>
      <xdr:row>136</xdr:row>
      <xdr:rowOff>0</xdr:rowOff>
    </xdr:to>
    <xdr:sp macro="" textlink="">
      <xdr:nvSpPr>
        <xdr:cNvPr id="1128" name="AutoShape 14"/>
        <xdr:cNvSpPr>
          <a:spLocks/>
        </xdr:cNvSpPr>
      </xdr:nvSpPr>
      <xdr:spPr bwMode="auto">
        <a:xfrm>
          <a:off x="10163175" y="26527125"/>
          <a:ext cx="161925" cy="400050"/>
        </a:xfrm>
        <a:prstGeom prst="rightBrace">
          <a:avLst>
            <a:gd name="adj1" fmla="val 205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137</xdr:row>
      <xdr:rowOff>28575</xdr:rowOff>
    </xdr:from>
    <xdr:to>
      <xdr:col>15</xdr:col>
      <xdr:colOff>190500</xdr:colOff>
      <xdr:row>139</xdr:row>
      <xdr:rowOff>0</xdr:rowOff>
    </xdr:to>
    <xdr:sp macro="" textlink="">
      <xdr:nvSpPr>
        <xdr:cNvPr id="1129" name="AutoShape 15"/>
        <xdr:cNvSpPr>
          <a:spLocks/>
        </xdr:cNvSpPr>
      </xdr:nvSpPr>
      <xdr:spPr bwMode="auto">
        <a:xfrm>
          <a:off x="10134600" y="27051000"/>
          <a:ext cx="190500" cy="352425"/>
        </a:xfrm>
        <a:prstGeom prst="rightBrace">
          <a:avLst>
            <a:gd name="adj1" fmla="val 1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145</xdr:row>
      <xdr:rowOff>28575</xdr:rowOff>
    </xdr:from>
    <xdr:to>
      <xdr:col>15</xdr:col>
      <xdr:colOff>190500</xdr:colOff>
      <xdr:row>146</xdr:row>
      <xdr:rowOff>171450</xdr:rowOff>
    </xdr:to>
    <xdr:sp macro="" textlink="">
      <xdr:nvSpPr>
        <xdr:cNvPr id="1130" name="AutoShape 18"/>
        <xdr:cNvSpPr>
          <a:spLocks/>
        </xdr:cNvSpPr>
      </xdr:nvSpPr>
      <xdr:spPr bwMode="auto">
        <a:xfrm>
          <a:off x="10163175" y="2856547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140</xdr:row>
      <xdr:rowOff>0</xdr:rowOff>
    </xdr:from>
    <xdr:to>
      <xdr:col>15</xdr:col>
      <xdr:colOff>247650</xdr:colOff>
      <xdr:row>141</xdr:row>
      <xdr:rowOff>152400</xdr:rowOff>
    </xdr:to>
    <xdr:sp macro="" textlink="">
      <xdr:nvSpPr>
        <xdr:cNvPr id="1131" name="AutoShape 21"/>
        <xdr:cNvSpPr>
          <a:spLocks/>
        </xdr:cNvSpPr>
      </xdr:nvSpPr>
      <xdr:spPr bwMode="auto">
        <a:xfrm>
          <a:off x="10172700" y="27527250"/>
          <a:ext cx="209550" cy="342900"/>
        </a:xfrm>
        <a:prstGeom prst="rightBrace">
          <a:avLst>
            <a:gd name="adj1" fmla="val 1363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163</xdr:row>
      <xdr:rowOff>0</xdr:rowOff>
    </xdr:from>
    <xdr:to>
      <xdr:col>15</xdr:col>
      <xdr:colOff>190500</xdr:colOff>
      <xdr:row>163</xdr:row>
      <xdr:rowOff>0</xdr:rowOff>
    </xdr:to>
    <xdr:sp macro="" textlink="">
      <xdr:nvSpPr>
        <xdr:cNvPr id="1132" name="AutoShape 22"/>
        <xdr:cNvSpPr>
          <a:spLocks/>
        </xdr:cNvSpPr>
      </xdr:nvSpPr>
      <xdr:spPr bwMode="auto">
        <a:xfrm>
          <a:off x="10163175" y="31889700"/>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163</xdr:row>
      <xdr:rowOff>0</xdr:rowOff>
    </xdr:from>
    <xdr:to>
      <xdr:col>15</xdr:col>
      <xdr:colOff>190500</xdr:colOff>
      <xdr:row>163</xdr:row>
      <xdr:rowOff>0</xdr:rowOff>
    </xdr:to>
    <xdr:sp macro="" textlink="">
      <xdr:nvSpPr>
        <xdr:cNvPr id="1133" name="AutoShape 23"/>
        <xdr:cNvSpPr>
          <a:spLocks/>
        </xdr:cNvSpPr>
      </xdr:nvSpPr>
      <xdr:spPr bwMode="auto">
        <a:xfrm>
          <a:off x="10134600" y="318897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119</xdr:row>
      <xdr:rowOff>38100</xdr:rowOff>
    </xdr:from>
    <xdr:to>
      <xdr:col>15</xdr:col>
      <xdr:colOff>219075</xdr:colOff>
      <xdr:row>120</xdr:row>
      <xdr:rowOff>161925</xdr:rowOff>
    </xdr:to>
    <xdr:sp macro="" textlink="">
      <xdr:nvSpPr>
        <xdr:cNvPr id="1134" name="AutoShape 48"/>
        <xdr:cNvSpPr>
          <a:spLocks/>
        </xdr:cNvSpPr>
      </xdr:nvSpPr>
      <xdr:spPr bwMode="auto">
        <a:xfrm>
          <a:off x="10163175" y="241077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164</xdr:row>
      <xdr:rowOff>28575</xdr:rowOff>
    </xdr:from>
    <xdr:to>
      <xdr:col>15</xdr:col>
      <xdr:colOff>190500</xdr:colOff>
      <xdr:row>165</xdr:row>
      <xdr:rowOff>171450</xdr:rowOff>
    </xdr:to>
    <xdr:sp macro="" textlink="">
      <xdr:nvSpPr>
        <xdr:cNvPr id="1135" name="AutoShape 49"/>
        <xdr:cNvSpPr>
          <a:spLocks/>
        </xdr:cNvSpPr>
      </xdr:nvSpPr>
      <xdr:spPr bwMode="auto">
        <a:xfrm>
          <a:off x="10163175" y="3203257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85725</xdr:colOff>
      <xdr:row>0</xdr:row>
      <xdr:rowOff>66675</xdr:rowOff>
    </xdr:from>
    <xdr:to>
      <xdr:col>4</xdr:col>
      <xdr:colOff>209550</xdr:colOff>
      <xdr:row>2</xdr:row>
      <xdr:rowOff>0</xdr:rowOff>
    </xdr:to>
    <xdr:pic>
      <xdr:nvPicPr>
        <xdr:cNvPr id="1136" name="Picture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6667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6432" name="AutoShape 3"/>
        <xdr:cNvSpPr>
          <a:spLocks/>
        </xdr:cNvSpPr>
      </xdr:nvSpPr>
      <xdr:spPr bwMode="auto">
        <a:xfrm>
          <a:off x="0" y="4210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6433" name="AutoShape 4"/>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13</xdr:row>
      <xdr:rowOff>19050</xdr:rowOff>
    </xdr:from>
    <xdr:to>
      <xdr:col>0</xdr:col>
      <xdr:colOff>0</xdr:colOff>
      <xdr:row>20</xdr:row>
      <xdr:rowOff>542925</xdr:rowOff>
    </xdr:to>
    <xdr:sp macro="" textlink="">
      <xdr:nvSpPr>
        <xdr:cNvPr id="16434" name="AutoShape 5"/>
        <xdr:cNvSpPr>
          <a:spLocks/>
        </xdr:cNvSpPr>
      </xdr:nvSpPr>
      <xdr:spPr bwMode="auto">
        <a:xfrm>
          <a:off x="0" y="4229100"/>
          <a:ext cx="0" cy="44291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647700</xdr:rowOff>
    </xdr:from>
    <xdr:to>
      <xdr:col>0</xdr:col>
      <xdr:colOff>0</xdr:colOff>
      <xdr:row>25</xdr:row>
      <xdr:rowOff>0</xdr:rowOff>
    </xdr:to>
    <xdr:sp macro="" textlink="">
      <xdr:nvSpPr>
        <xdr:cNvPr id="16435" name="AutoShape 6"/>
        <xdr:cNvSpPr>
          <a:spLocks/>
        </xdr:cNvSpPr>
      </xdr:nvSpPr>
      <xdr:spPr bwMode="auto">
        <a:xfrm>
          <a:off x="0" y="10744200"/>
          <a:ext cx="0" cy="152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19050</xdr:rowOff>
    </xdr:from>
    <xdr:to>
      <xdr:col>0</xdr:col>
      <xdr:colOff>19050</xdr:colOff>
      <xdr:row>27</xdr:row>
      <xdr:rowOff>0</xdr:rowOff>
    </xdr:to>
    <xdr:sp macro="" textlink="">
      <xdr:nvSpPr>
        <xdr:cNvPr id="16436" name="AutoShape 7"/>
        <xdr:cNvSpPr>
          <a:spLocks/>
        </xdr:cNvSpPr>
      </xdr:nvSpPr>
      <xdr:spPr bwMode="auto">
        <a:xfrm>
          <a:off x="0" y="10915650"/>
          <a:ext cx="19050" cy="1028700"/>
        </a:xfrm>
        <a:prstGeom prst="leftBrace">
          <a:avLst>
            <a:gd name="adj1" fmla="val 4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6437" name="AutoShape 8"/>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647700</xdr:rowOff>
    </xdr:from>
    <xdr:to>
      <xdr:col>0</xdr:col>
      <xdr:colOff>0</xdr:colOff>
      <xdr:row>28</xdr:row>
      <xdr:rowOff>0</xdr:rowOff>
    </xdr:to>
    <xdr:sp macro="" textlink="">
      <xdr:nvSpPr>
        <xdr:cNvPr id="16438" name="AutoShape 9"/>
        <xdr:cNvSpPr>
          <a:spLocks/>
        </xdr:cNvSpPr>
      </xdr:nvSpPr>
      <xdr:spPr bwMode="auto">
        <a:xfrm>
          <a:off x="0" y="125063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16439" name="AutoShape 10"/>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16440" name="AutoShape 16"/>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200025</xdr:colOff>
      <xdr:row>2</xdr:row>
      <xdr:rowOff>190500</xdr:rowOff>
    </xdr:from>
    <xdr:to>
      <xdr:col>3</xdr:col>
      <xdr:colOff>85725</xdr:colOff>
      <xdr:row>5</xdr:row>
      <xdr:rowOff>9525</xdr:rowOff>
    </xdr:to>
    <xdr:pic>
      <xdr:nvPicPr>
        <xdr:cNvPr id="16441"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85800"/>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20521" name="AutoShape 1"/>
        <xdr:cNvSpPr>
          <a:spLocks/>
        </xdr:cNvSpPr>
      </xdr:nvSpPr>
      <xdr:spPr bwMode="auto">
        <a:xfrm>
          <a:off x="0" y="4210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0522" name="AutoShape 2"/>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13</xdr:row>
      <xdr:rowOff>19050</xdr:rowOff>
    </xdr:from>
    <xdr:to>
      <xdr:col>0</xdr:col>
      <xdr:colOff>0</xdr:colOff>
      <xdr:row>20</xdr:row>
      <xdr:rowOff>542925</xdr:rowOff>
    </xdr:to>
    <xdr:sp macro="" textlink="">
      <xdr:nvSpPr>
        <xdr:cNvPr id="20523" name="AutoShape 3"/>
        <xdr:cNvSpPr>
          <a:spLocks/>
        </xdr:cNvSpPr>
      </xdr:nvSpPr>
      <xdr:spPr bwMode="auto">
        <a:xfrm>
          <a:off x="0" y="4229100"/>
          <a:ext cx="0" cy="44291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647700</xdr:rowOff>
    </xdr:from>
    <xdr:to>
      <xdr:col>0</xdr:col>
      <xdr:colOff>0</xdr:colOff>
      <xdr:row>25</xdr:row>
      <xdr:rowOff>0</xdr:rowOff>
    </xdr:to>
    <xdr:sp macro="" textlink="">
      <xdr:nvSpPr>
        <xdr:cNvPr id="20524" name="AutoShape 4"/>
        <xdr:cNvSpPr>
          <a:spLocks/>
        </xdr:cNvSpPr>
      </xdr:nvSpPr>
      <xdr:spPr bwMode="auto">
        <a:xfrm>
          <a:off x="0" y="10744200"/>
          <a:ext cx="0" cy="152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19050</xdr:rowOff>
    </xdr:from>
    <xdr:to>
      <xdr:col>0</xdr:col>
      <xdr:colOff>19050</xdr:colOff>
      <xdr:row>27</xdr:row>
      <xdr:rowOff>0</xdr:rowOff>
    </xdr:to>
    <xdr:sp macro="" textlink="">
      <xdr:nvSpPr>
        <xdr:cNvPr id="20525" name="AutoShape 5"/>
        <xdr:cNvSpPr>
          <a:spLocks/>
        </xdr:cNvSpPr>
      </xdr:nvSpPr>
      <xdr:spPr bwMode="auto">
        <a:xfrm>
          <a:off x="0" y="10915650"/>
          <a:ext cx="19050" cy="1028700"/>
        </a:xfrm>
        <a:prstGeom prst="leftBrace">
          <a:avLst>
            <a:gd name="adj1" fmla="val 4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0526" name="AutoShape 6"/>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647700</xdr:rowOff>
    </xdr:from>
    <xdr:to>
      <xdr:col>0</xdr:col>
      <xdr:colOff>0</xdr:colOff>
      <xdr:row>28</xdr:row>
      <xdr:rowOff>0</xdr:rowOff>
    </xdr:to>
    <xdr:sp macro="" textlink="">
      <xdr:nvSpPr>
        <xdr:cNvPr id="20527" name="AutoShape 7"/>
        <xdr:cNvSpPr>
          <a:spLocks/>
        </xdr:cNvSpPr>
      </xdr:nvSpPr>
      <xdr:spPr bwMode="auto">
        <a:xfrm>
          <a:off x="0" y="125063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20528" name="AutoShape 8"/>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20529" name="AutoShape 9"/>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257175</xdr:colOff>
      <xdr:row>2</xdr:row>
      <xdr:rowOff>161925</xdr:rowOff>
    </xdr:from>
    <xdr:to>
      <xdr:col>3</xdr:col>
      <xdr:colOff>142875</xdr:colOff>
      <xdr:row>4</xdr:row>
      <xdr:rowOff>171450</xdr:rowOff>
    </xdr:to>
    <xdr:pic>
      <xdr:nvPicPr>
        <xdr:cNvPr id="20530"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5722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17</xdr:col>
      <xdr:colOff>0</xdr:colOff>
      <xdr:row>31</xdr:row>
      <xdr:rowOff>28575</xdr:rowOff>
    </xdr:from>
    <xdr:to>
      <xdr:col>17</xdr:col>
      <xdr:colOff>190500</xdr:colOff>
      <xdr:row>32</xdr:row>
      <xdr:rowOff>152400</xdr:rowOff>
    </xdr:to>
    <xdr:sp macro="" textlink="">
      <xdr:nvSpPr>
        <xdr:cNvPr id="17473" name="AutoShape 3"/>
        <xdr:cNvSpPr>
          <a:spLocks/>
        </xdr:cNvSpPr>
      </xdr:nvSpPr>
      <xdr:spPr bwMode="auto">
        <a:xfrm>
          <a:off x="9896475" y="7058025"/>
          <a:ext cx="190500" cy="400050"/>
        </a:xfrm>
        <a:prstGeom prst="rightBrace">
          <a:avLst>
            <a:gd name="adj1" fmla="val 1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28</xdr:row>
      <xdr:rowOff>28575</xdr:rowOff>
    </xdr:from>
    <xdr:to>
      <xdr:col>17</xdr:col>
      <xdr:colOff>190500</xdr:colOff>
      <xdr:row>29</xdr:row>
      <xdr:rowOff>152400</xdr:rowOff>
    </xdr:to>
    <xdr:sp macro="" textlink="">
      <xdr:nvSpPr>
        <xdr:cNvPr id="17474" name="AutoShape 4"/>
        <xdr:cNvSpPr>
          <a:spLocks/>
        </xdr:cNvSpPr>
      </xdr:nvSpPr>
      <xdr:spPr bwMode="auto">
        <a:xfrm>
          <a:off x="9896475" y="65246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24</xdr:row>
      <xdr:rowOff>161925</xdr:rowOff>
    </xdr:from>
    <xdr:to>
      <xdr:col>17</xdr:col>
      <xdr:colOff>190500</xdr:colOff>
      <xdr:row>27</xdr:row>
      <xdr:rowOff>0</xdr:rowOff>
    </xdr:to>
    <xdr:sp macro="" textlink="">
      <xdr:nvSpPr>
        <xdr:cNvPr id="17475" name="AutoShape 5"/>
        <xdr:cNvSpPr>
          <a:spLocks/>
        </xdr:cNvSpPr>
      </xdr:nvSpPr>
      <xdr:spPr bwMode="auto">
        <a:xfrm>
          <a:off x="9896475" y="5895975"/>
          <a:ext cx="190500" cy="409575"/>
        </a:xfrm>
        <a:prstGeom prst="rightBrace">
          <a:avLst>
            <a:gd name="adj1" fmla="val 1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28575</xdr:colOff>
      <xdr:row>34</xdr:row>
      <xdr:rowOff>9525</xdr:rowOff>
    </xdr:from>
    <xdr:to>
      <xdr:col>17</xdr:col>
      <xdr:colOff>190500</xdr:colOff>
      <xdr:row>35</xdr:row>
      <xdr:rowOff>152400</xdr:rowOff>
    </xdr:to>
    <xdr:sp macro="" textlink="">
      <xdr:nvSpPr>
        <xdr:cNvPr id="17476" name="AutoShape 6"/>
        <xdr:cNvSpPr>
          <a:spLocks/>
        </xdr:cNvSpPr>
      </xdr:nvSpPr>
      <xdr:spPr bwMode="auto">
        <a:xfrm>
          <a:off x="9925050" y="7705725"/>
          <a:ext cx="161925" cy="342900"/>
        </a:xfrm>
        <a:prstGeom prst="rightBrace">
          <a:avLst>
            <a:gd name="adj1" fmla="val 1764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37</xdr:row>
      <xdr:rowOff>28575</xdr:rowOff>
    </xdr:from>
    <xdr:to>
      <xdr:col>17</xdr:col>
      <xdr:colOff>190500</xdr:colOff>
      <xdr:row>39</xdr:row>
      <xdr:rowOff>0</xdr:rowOff>
    </xdr:to>
    <xdr:sp macro="" textlink="">
      <xdr:nvSpPr>
        <xdr:cNvPr id="17477" name="AutoShape 7"/>
        <xdr:cNvSpPr>
          <a:spLocks/>
        </xdr:cNvSpPr>
      </xdr:nvSpPr>
      <xdr:spPr bwMode="auto">
        <a:xfrm>
          <a:off x="9896475" y="8420100"/>
          <a:ext cx="190500" cy="447675"/>
        </a:xfrm>
        <a:prstGeom prst="rightBrace">
          <a:avLst>
            <a:gd name="adj1" fmla="val 1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40</xdr:row>
      <xdr:rowOff>0</xdr:rowOff>
    </xdr:from>
    <xdr:to>
      <xdr:col>17</xdr:col>
      <xdr:colOff>190500</xdr:colOff>
      <xdr:row>42</xdr:row>
      <xdr:rowOff>0</xdr:rowOff>
    </xdr:to>
    <xdr:sp macro="" textlink="">
      <xdr:nvSpPr>
        <xdr:cNvPr id="17478" name="AutoShape 8"/>
        <xdr:cNvSpPr>
          <a:spLocks/>
        </xdr:cNvSpPr>
      </xdr:nvSpPr>
      <xdr:spPr bwMode="auto">
        <a:xfrm>
          <a:off x="9906000" y="9058275"/>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42</xdr:row>
      <xdr:rowOff>180975</xdr:rowOff>
    </xdr:from>
    <xdr:to>
      <xdr:col>17</xdr:col>
      <xdr:colOff>238125</xdr:colOff>
      <xdr:row>44</xdr:row>
      <xdr:rowOff>152400</xdr:rowOff>
    </xdr:to>
    <xdr:sp macro="" textlink="">
      <xdr:nvSpPr>
        <xdr:cNvPr id="17479" name="AutoShape 9"/>
        <xdr:cNvSpPr>
          <a:spLocks/>
        </xdr:cNvSpPr>
      </xdr:nvSpPr>
      <xdr:spPr bwMode="auto">
        <a:xfrm>
          <a:off x="9934575" y="9620250"/>
          <a:ext cx="200025" cy="352425"/>
        </a:xfrm>
        <a:prstGeom prst="rightBrace">
          <a:avLst>
            <a:gd name="adj1" fmla="val 146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49</xdr:row>
      <xdr:rowOff>28575</xdr:rowOff>
    </xdr:from>
    <xdr:to>
      <xdr:col>17</xdr:col>
      <xdr:colOff>190500</xdr:colOff>
      <xdr:row>50</xdr:row>
      <xdr:rowOff>152400</xdr:rowOff>
    </xdr:to>
    <xdr:sp macro="" textlink="">
      <xdr:nvSpPr>
        <xdr:cNvPr id="17480" name="AutoShape 16"/>
        <xdr:cNvSpPr>
          <a:spLocks/>
        </xdr:cNvSpPr>
      </xdr:nvSpPr>
      <xdr:spPr bwMode="auto">
        <a:xfrm>
          <a:off x="9896475" y="113061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52</xdr:row>
      <xdr:rowOff>28575</xdr:rowOff>
    </xdr:from>
    <xdr:to>
      <xdr:col>17</xdr:col>
      <xdr:colOff>190500</xdr:colOff>
      <xdr:row>53</xdr:row>
      <xdr:rowOff>152400</xdr:rowOff>
    </xdr:to>
    <xdr:sp macro="" textlink="">
      <xdr:nvSpPr>
        <xdr:cNvPr id="17481" name="AutoShape 17"/>
        <xdr:cNvSpPr>
          <a:spLocks/>
        </xdr:cNvSpPr>
      </xdr:nvSpPr>
      <xdr:spPr bwMode="auto">
        <a:xfrm>
          <a:off x="9896475" y="118776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22</xdr:row>
      <xdr:rowOff>28575</xdr:rowOff>
    </xdr:from>
    <xdr:to>
      <xdr:col>18</xdr:col>
      <xdr:colOff>9525</xdr:colOff>
      <xdr:row>23</xdr:row>
      <xdr:rowOff>161925</xdr:rowOff>
    </xdr:to>
    <xdr:sp macro="" textlink="">
      <xdr:nvSpPr>
        <xdr:cNvPr id="17482" name="AutoShape 22"/>
        <xdr:cNvSpPr>
          <a:spLocks/>
        </xdr:cNvSpPr>
      </xdr:nvSpPr>
      <xdr:spPr bwMode="auto">
        <a:xfrm>
          <a:off x="9934575" y="5381625"/>
          <a:ext cx="219075" cy="323850"/>
        </a:xfrm>
        <a:prstGeom prst="rightBrace">
          <a:avLst>
            <a:gd name="adj1" fmla="val 123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381000</xdr:colOff>
      <xdr:row>0</xdr:row>
      <xdr:rowOff>276225</xdr:rowOff>
    </xdr:from>
    <xdr:to>
      <xdr:col>2</xdr:col>
      <xdr:colOff>276225</xdr:colOff>
      <xdr:row>3</xdr:row>
      <xdr:rowOff>28575</xdr:rowOff>
    </xdr:to>
    <xdr:pic>
      <xdr:nvPicPr>
        <xdr:cNvPr id="17483"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7622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314325</xdr:rowOff>
    </xdr:to>
    <xdr:sp macro="" textlink="">
      <xdr:nvSpPr>
        <xdr:cNvPr id="5133" name="Line 5"/>
        <xdr:cNvSpPr>
          <a:spLocks noChangeShapeType="1"/>
        </xdr:cNvSpPr>
      </xdr:nvSpPr>
      <xdr:spPr bwMode="auto">
        <a:xfrm>
          <a:off x="6572250" y="1524000"/>
          <a:ext cx="9906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xdr:colOff>
      <xdr:row>4</xdr:row>
      <xdr:rowOff>19050</xdr:rowOff>
    </xdr:from>
    <xdr:to>
      <xdr:col>9</xdr:col>
      <xdr:colOff>0</xdr:colOff>
      <xdr:row>4</xdr:row>
      <xdr:rowOff>323850</xdr:rowOff>
    </xdr:to>
    <xdr:sp macro="" textlink="">
      <xdr:nvSpPr>
        <xdr:cNvPr id="5134" name="Line 6"/>
        <xdr:cNvSpPr>
          <a:spLocks noChangeShapeType="1"/>
        </xdr:cNvSpPr>
      </xdr:nvSpPr>
      <xdr:spPr bwMode="auto">
        <a:xfrm flipH="1">
          <a:off x="6562725" y="1533525"/>
          <a:ext cx="9906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E102"/>
  <sheetViews>
    <sheetView zoomScaleNormal="85" zoomScaleSheetLayoutView="100" workbookViewId="0">
      <selection activeCell="B8" sqref="B8"/>
    </sheetView>
  </sheetViews>
  <sheetFormatPr defaultRowHeight="15" x14ac:dyDescent="0.2"/>
  <cols>
    <col min="1" max="1" width="4.88671875" customWidth="1"/>
    <col min="2" max="2" width="77" customWidth="1"/>
  </cols>
  <sheetData>
    <row r="1" spans="1:5" ht="30" x14ac:dyDescent="0.2">
      <c r="A1" s="391"/>
      <c r="B1" s="392" t="s">
        <v>304</v>
      </c>
    </row>
    <row r="2" spans="1:5" x14ac:dyDescent="0.2">
      <c r="A2" s="391"/>
      <c r="B2" s="439"/>
    </row>
    <row r="3" spans="1:5" x14ac:dyDescent="0.2">
      <c r="A3" s="391"/>
      <c r="B3" s="391"/>
      <c r="D3" s="146"/>
      <c r="E3" s="147"/>
    </row>
    <row r="4" spans="1:5" x14ac:dyDescent="0.2">
      <c r="A4" s="391"/>
      <c r="B4" s="392" t="s">
        <v>270</v>
      </c>
    </row>
    <row r="5" spans="1:5" x14ac:dyDescent="0.2">
      <c r="A5" s="391"/>
      <c r="B5" s="391"/>
    </row>
    <row r="6" spans="1:5" x14ac:dyDescent="0.2">
      <c r="A6" s="391"/>
      <c r="B6" s="125" t="s">
        <v>153</v>
      </c>
    </row>
    <row r="7" spans="1:5" x14ac:dyDescent="0.2">
      <c r="A7" s="391"/>
      <c r="B7" s="125"/>
    </row>
    <row r="8" spans="1:5" ht="42.75" x14ac:dyDescent="0.2">
      <c r="A8" s="393">
        <v>1</v>
      </c>
      <c r="B8" s="394" t="s">
        <v>271</v>
      </c>
    </row>
    <row r="9" spans="1:5" x14ac:dyDescent="0.2">
      <c r="A9" s="393"/>
      <c r="B9" s="391"/>
    </row>
    <row r="10" spans="1:5" ht="71.25" x14ac:dyDescent="0.2">
      <c r="A10" s="393">
        <v>2</v>
      </c>
      <c r="B10" s="395" t="s">
        <v>463</v>
      </c>
    </row>
    <row r="11" spans="1:5" x14ac:dyDescent="0.2">
      <c r="A11" s="393"/>
      <c r="B11" s="396"/>
    </row>
    <row r="12" spans="1:5" ht="28.5" x14ac:dyDescent="0.2">
      <c r="A12" s="393">
        <v>3</v>
      </c>
      <c r="B12" s="391" t="s">
        <v>272</v>
      </c>
    </row>
    <row r="13" spans="1:5" x14ac:dyDescent="0.2">
      <c r="A13" s="393"/>
      <c r="B13" s="396"/>
    </row>
    <row r="14" spans="1:5" ht="28.5" x14ac:dyDescent="0.2">
      <c r="A14" s="393">
        <v>4</v>
      </c>
      <c r="B14" s="391" t="s">
        <v>273</v>
      </c>
    </row>
    <row r="15" spans="1:5" x14ac:dyDescent="0.2">
      <c r="A15" s="393"/>
      <c r="B15" s="391"/>
    </row>
    <row r="16" spans="1:5" ht="28.5" x14ac:dyDescent="0.2">
      <c r="A16" s="393">
        <v>5</v>
      </c>
      <c r="B16" s="391" t="s">
        <v>274</v>
      </c>
    </row>
    <row r="17" spans="1:2" x14ac:dyDescent="0.2">
      <c r="A17" s="393"/>
      <c r="B17" s="391"/>
    </row>
    <row r="18" spans="1:2" ht="28.5" x14ac:dyDescent="0.2">
      <c r="A18" s="393">
        <v>6</v>
      </c>
      <c r="B18" s="396" t="s">
        <v>275</v>
      </c>
    </row>
    <row r="19" spans="1:2" x14ac:dyDescent="0.2">
      <c r="A19" s="393"/>
      <c r="B19" s="396"/>
    </row>
    <row r="20" spans="1:2" ht="57" x14ac:dyDescent="0.2">
      <c r="A20" s="393">
        <v>7</v>
      </c>
      <c r="B20" s="394" t="s">
        <v>276</v>
      </c>
    </row>
    <row r="21" spans="1:2" x14ac:dyDescent="0.2">
      <c r="A21" s="393"/>
      <c r="B21" s="391"/>
    </row>
    <row r="22" spans="1:2" ht="28.5" x14ac:dyDescent="0.2">
      <c r="A22" s="393">
        <v>8</v>
      </c>
      <c r="B22" s="391" t="s">
        <v>277</v>
      </c>
    </row>
    <row r="23" spans="1:2" x14ac:dyDescent="0.2">
      <c r="A23" s="393"/>
      <c r="B23" s="391"/>
    </row>
    <row r="24" spans="1:2" ht="42.75" x14ac:dyDescent="0.2">
      <c r="A24" s="393">
        <v>9</v>
      </c>
      <c r="B24" s="391" t="s">
        <v>278</v>
      </c>
    </row>
    <row r="25" spans="1:2" x14ac:dyDescent="0.2">
      <c r="A25" s="393"/>
      <c r="B25" s="391"/>
    </row>
    <row r="26" spans="1:2" ht="60" x14ac:dyDescent="0.2">
      <c r="A26" s="393">
        <v>10</v>
      </c>
      <c r="B26" s="397" t="s">
        <v>279</v>
      </c>
    </row>
    <row r="27" spans="1:2" x14ac:dyDescent="0.2">
      <c r="A27" s="393"/>
      <c r="B27" s="392"/>
    </row>
    <row r="28" spans="1:2" ht="30" x14ac:dyDescent="0.2">
      <c r="A28" s="393">
        <v>11</v>
      </c>
      <c r="B28" s="392" t="s">
        <v>154</v>
      </c>
    </row>
    <row r="29" spans="1:2" x14ac:dyDescent="0.2">
      <c r="A29" s="393"/>
      <c r="B29" s="392"/>
    </row>
    <row r="30" spans="1:2" ht="28.5" x14ac:dyDescent="0.2">
      <c r="A30" s="393">
        <v>12</v>
      </c>
      <c r="B30" s="391" t="s">
        <v>280</v>
      </c>
    </row>
    <row r="31" spans="1:2" x14ac:dyDescent="0.2">
      <c r="A31" s="393"/>
      <c r="B31" s="391"/>
    </row>
    <row r="32" spans="1:2" x14ac:dyDescent="0.2">
      <c r="A32" s="393">
        <v>13</v>
      </c>
      <c r="B32" s="394" t="s">
        <v>281</v>
      </c>
    </row>
    <row r="33" spans="1:2" x14ac:dyDescent="0.2">
      <c r="A33" s="393"/>
      <c r="B33" s="394"/>
    </row>
    <row r="34" spans="1:2" x14ac:dyDescent="0.2">
      <c r="A34" s="393">
        <v>14</v>
      </c>
      <c r="B34" s="394" t="s">
        <v>282</v>
      </c>
    </row>
    <row r="35" spans="1:2" x14ac:dyDescent="0.2">
      <c r="A35" s="393"/>
      <c r="B35" s="391"/>
    </row>
    <row r="36" spans="1:2" x14ac:dyDescent="0.2">
      <c r="A36" s="393"/>
      <c r="B36" s="392"/>
    </row>
    <row r="37" spans="1:2" x14ac:dyDescent="0.2">
      <c r="A37" s="393"/>
      <c r="B37" s="392" t="s">
        <v>155</v>
      </c>
    </row>
    <row r="38" spans="1:2" x14ac:dyDescent="0.2">
      <c r="A38" s="393"/>
      <c r="B38" s="391"/>
    </row>
    <row r="39" spans="1:2" x14ac:dyDescent="0.2">
      <c r="A39" s="393">
        <v>1</v>
      </c>
      <c r="B39" s="391" t="s">
        <v>156</v>
      </c>
    </row>
    <row r="40" spans="1:2" x14ac:dyDescent="0.2">
      <c r="A40" s="393"/>
      <c r="B40" s="391"/>
    </row>
    <row r="41" spans="1:2" ht="28.5" x14ac:dyDescent="0.2">
      <c r="A41" s="393">
        <v>2</v>
      </c>
      <c r="B41" s="391" t="s">
        <v>283</v>
      </c>
    </row>
    <row r="42" spans="1:2" x14ac:dyDescent="0.2">
      <c r="A42" s="393"/>
      <c r="B42" s="125"/>
    </row>
    <row r="43" spans="1:2" x14ac:dyDescent="0.2">
      <c r="A43" s="393">
        <v>3</v>
      </c>
      <c r="B43" s="391" t="s">
        <v>157</v>
      </c>
    </row>
    <row r="44" spans="1:2" x14ac:dyDescent="0.2">
      <c r="A44" s="393"/>
      <c r="B44" s="391"/>
    </row>
    <row r="45" spans="1:2" ht="28.5" x14ac:dyDescent="0.2">
      <c r="A45" s="393">
        <v>4</v>
      </c>
      <c r="B45" s="391" t="s">
        <v>158</v>
      </c>
    </row>
    <row r="46" spans="1:2" x14ac:dyDescent="0.2">
      <c r="A46" s="393"/>
      <c r="B46" s="396"/>
    </row>
    <row r="47" spans="1:2" ht="28.5" x14ac:dyDescent="0.2">
      <c r="A47" s="393">
        <v>5</v>
      </c>
      <c r="B47" s="391" t="s">
        <v>159</v>
      </c>
    </row>
    <row r="48" spans="1:2" x14ac:dyDescent="0.2">
      <c r="A48" s="393"/>
      <c r="B48" s="391"/>
    </row>
    <row r="49" spans="1:2" x14ac:dyDescent="0.2">
      <c r="A49" s="393">
        <f>A47+1</f>
        <v>6</v>
      </c>
      <c r="B49" s="391" t="s">
        <v>456</v>
      </c>
    </row>
    <row r="50" spans="1:2" x14ac:dyDescent="0.2">
      <c r="A50" s="393"/>
      <c r="B50" s="391"/>
    </row>
    <row r="51" spans="1:2" ht="57" x14ac:dyDescent="0.2">
      <c r="A51" s="393">
        <f>A49+1</f>
        <v>7</v>
      </c>
      <c r="B51" s="394" t="s">
        <v>160</v>
      </c>
    </row>
    <row r="52" spans="1:2" x14ac:dyDescent="0.2">
      <c r="A52" s="393"/>
      <c r="B52" s="391"/>
    </row>
    <row r="53" spans="1:2" ht="42.75" x14ac:dyDescent="0.2">
      <c r="A53" s="393">
        <f>A51+1</f>
        <v>8</v>
      </c>
      <c r="B53" s="391" t="s">
        <v>415</v>
      </c>
    </row>
    <row r="54" spans="1:2" x14ac:dyDescent="0.2">
      <c r="A54" s="393"/>
      <c r="B54" s="391"/>
    </row>
    <row r="55" spans="1:2" ht="57" x14ac:dyDescent="0.2">
      <c r="A55" s="393">
        <f>A53+1</f>
        <v>9</v>
      </c>
      <c r="B55" s="394" t="s">
        <v>161</v>
      </c>
    </row>
    <row r="56" spans="1:2" x14ac:dyDescent="0.2">
      <c r="A56" s="393"/>
      <c r="B56" s="394"/>
    </row>
    <row r="57" spans="1:2" ht="42.75" x14ac:dyDescent="0.2">
      <c r="A57" s="393">
        <f>A55+1</f>
        <v>10</v>
      </c>
      <c r="B57" s="394" t="s">
        <v>284</v>
      </c>
    </row>
    <row r="58" spans="1:2" x14ac:dyDescent="0.2">
      <c r="A58" s="393"/>
      <c r="B58" s="391"/>
    </row>
    <row r="59" spans="1:2" ht="42.75" x14ac:dyDescent="0.2">
      <c r="A59" s="393">
        <f>A57+1</f>
        <v>11</v>
      </c>
      <c r="B59" s="391" t="s">
        <v>285</v>
      </c>
    </row>
    <row r="60" spans="1:2" x14ac:dyDescent="0.2">
      <c r="A60" s="393"/>
      <c r="B60" s="394"/>
    </row>
    <row r="61" spans="1:2" ht="28.5" x14ac:dyDescent="0.2">
      <c r="A61" s="393">
        <f>A59+1</f>
        <v>12</v>
      </c>
      <c r="B61" s="394" t="s">
        <v>286</v>
      </c>
    </row>
    <row r="62" spans="1:2" x14ac:dyDescent="0.2">
      <c r="A62" s="393"/>
      <c r="B62" s="394"/>
    </row>
    <row r="63" spans="1:2" ht="42.75" x14ac:dyDescent="0.2">
      <c r="A63" s="393">
        <f>A61+1</f>
        <v>13</v>
      </c>
      <c r="B63" s="394" t="s">
        <v>462</v>
      </c>
    </row>
    <row r="64" spans="1:2" x14ac:dyDescent="0.2">
      <c r="A64" s="393"/>
      <c r="B64" s="391"/>
    </row>
    <row r="65" spans="1:2" x14ac:dyDescent="0.2">
      <c r="A65" s="393">
        <f>A63+1</f>
        <v>14</v>
      </c>
      <c r="B65" s="391" t="s">
        <v>24</v>
      </c>
    </row>
    <row r="66" spans="1:2" ht="28.5" x14ac:dyDescent="0.2">
      <c r="A66" s="393"/>
      <c r="B66" s="402" t="s">
        <v>457</v>
      </c>
    </row>
    <row r="69" spans="1:2" ht="38.25" x14ac:dyDescent="0.2">
      <c r="B69" s="1153" t="s">
        <v>458</v>
      </c>
    </row>
    <row r="99" spans="1:1" x14ac:dyDescent="0.2">
      <c r="A99" s="432" t="s">
        <v>290</v>
      </c>
    </row>
    <row r="102" spans="1:1" x14ac:dyDescent="0.2">
      <c r="A102" s="440" t="s">
        <v>312</v>
      </c>
    </row>
  </sheetData>
  <sheetProtection password="CD4C" sheet="1" objects="1" scenarios="1"/>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0" type="noConversion"/>
  <pageMargins left="0.75" right="0.75" top="1" bottom="1" header="0.5" footer="0.5"/>
  <pageSetup paperSize="9" scale="76" orientation="portrait" r:id="rId2"/>
  <headerFooter alignWithMargins="0"/>
  <rowBreaks count="1" manualBreakCount="1">
    <brk id="36"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P115"/>
  <sheetViews>
    <sheetView tabSelected="1" zoomScale="70" zoomScaleNormal="70" zoomScaleSheetLayoutView="70" workbookViewId="0">
      <selection activeCell="D6" sqref="D6"/>
    </sheetView>
  </sheetViews>
  <sheetFormatPr defaultRowHeight="15" x14ac:dyDescent="0.2"/>
  <cols>
    <col min="1" max="1" width="18.33203125" customWidth="1"/>
    <col min="2" max="2" width="3.88671875" customWidth="1"/>
    <col min="3" max="3" width="11.5546875" customWidth="1"/>
    <col min="4" max="4" width="27.77734375" customWidth="1"/>
    <col min="5" max="5" width="19.109375" customWidth="1"/>
    <col min="6" max="6" width="21" customWidth="1"/>
    <col min="7" max="7" width="18.6640625" customWidth="1"/>
    <col min="8" max="8" width="16.44140625" customWidth="1"/>
    <col min="9" max="9" width="6.88671875" customWidth="1"/>
    <col min="10" max="10" width="8.33203125" customWidth="1"/>
    <col min="13" max="13" width="10.33203125" customWidth="1"/>
  </cols>
  <sheetData>
    <row r="1" spans="1:8" ht="46.5" customHeight="1" thickTop="1" thickBot="1" x14ac:dyDescent="0.25">
      <c r="A1" s="1210" t="s">
        <v>393</v>
      </c>
      <c r="B1" s="1211"/>
      <c r="C1" s="1211"/>
      <c r="D1" s="1211"/>
      <c r="E1" s="1211"/>
      <c r="F1" s="1211"/>
      <c r="G1" s="1211"/>
      <c r="H1" s="1212"/>
    </row>
    <row r="2" spans="1:8" ht="46.5" customHeight="1" thickTop="1" x14ac:dyDescent="0.2">
      <c r="A2" s="499"/>
      <c r="B2" s="519"/>
      <c r="C2" s="519"/>
      <c r="D2" s="478"/>
      <c r="E2" s="1215" t="str">
        <f>CONCATENATE(D8,"  ","")</f>
        <v xml:space="preserve">STRUCTURAL ENGINEERING  </v>
      </c>
      <c r="F2" s="1216"/>
      <c r="G2" s="1216"/>
      <c r="H2" s="140"/>
    </row>
    <row r="3" spans="1:8" ht="44.25" customHeight="1" thickBot="1" x14ac:dyDescent="0.25">
      <c r="A3" s="200"/>
      <c r="B3" s="141"/>
      <c r="C3" s="141"/>
      <c r="D3" s="141"/>
      <c r="E3" s="1213" t="str">
        <f>IF(E9="b","USE MULTI-DISCIPLINARY PROJECT INVOICE!!!",CONCATENATE(D9,":  ",D20," NDPW FEES"))</f>
        <v>ENGINEERING PROJECT:  2012 NDPW FEES</v>
      </c>
      <c r="F3" s="1214"/>
      <c r="G3" s="1214"/>
      <c r="H3" s="648" t="s">
        <v>454</v>
      </c>
    </row>
    <row r="4" spans="1:8" ht="18" customHeight="1" thickTop="1" x14ac:dyDescent="0.2">
      <c r="A4" s="603"/>
      <c r="B4" s="571"/>
      <c r="C4" s="572" t="s">
        <v>302</v>
      </c>
      <c r="D4" s="1034"/>
      <c r="E4" s="546"/>
      <c r="F4" s="545" t="s">
        <v>301</v>
      </c>
      <c r="G4" s="1225"/>
      <c r="H4" s="1226"/>
    </row>
    <row r="5" spans="1:8" ht="18" customHeight="1" x14ac:dyDescent="0.2">
      <c r="A5" s="604"/>
      <c r="B5" s="573"/>
      <c r="C5" s="574" t="s">
        <v>303</v>
      </c>
      <c r="D5" s="1035"/>
      <c r="E5" s="547"/>
      <c r="F5" s="537" t="s">
        <v>245</v>
      </c>
      <c r="G5" s="723"/>
      <c r="H5" s="1032"/>
    </row>
    <row r="6" spans="1:8" ht="18" customHeight="1" x14ac:dyDescent="0.2">
      <c r="A6" s="604"/>
      <c r="B6" s="573"/>
      <c r="C6" s="574" t="s">
        <v>322</v>
      </c>
      <c r="D6" s="1036"/>
      <c r="E6" s="547"/>
      <c r="F6" s="175" t="s">
        <v>269</v>
      </c>
      <c r="G6" s="723"/>
      <c r="H6" s="1032"/>
    </row>
    <row r="7" spans="1:8" ht="18" customHeight="1" x14ac:dyDescent="0.2">
      <c r="A7" s="604"/>
      <c r="B7" s="573"/>
      <c r="C7" s="574" t="s">
        <v>244</v>
      </c>
      <c r="D7" s="1037"/>
      <c r="E7" s="547"/>
      <c r="F7" s="24" t="s">
        <v>265</v>
      </c>
      <c r="G7" s="723"/>
      <c r="H7" s="1033"/>
    </row>
    <row r="8" spans="1:8" ht="18" customHeight="1" x14ac:dyDescent="0.2">
      <c r="A8" s="604"/>
      <c r="B8" s="573"/>
      <c r="C8" s="574" t="s">
        <v>313</v>
      </c>
      <c r="D8" s="1200" t="s">
        <v>461</v>
      </c>
      <c r="E8" s="1201"/>
      <c r="F8" s="175" t="s">
        <v>243</v>
      </c>
      <c r="G8" s="1208"/>
      <c r="H8" s="1209"/>
    </row>
    <row r="9" spans="1:8" ht="18" customHeight="1" x14ac:dyDescent="0.2">
      <c r="A9" s="604"/>
      <c r="B9" s="573"/>
      <c r="C9" s="575" t="s">
        <v>125</v>
      </c>
      <c r="D9" s="452" t="s">
        <v>460</v>
      </c>
      <c r="E9" s="451" t="str">
        <f>IF(D9="MULTI-DISCIPLINARY PROJECT","B","E")</f>
        <v>E</v>
      </c>
      <c r="F9" s="124"/>
      <c r="G9" s="124"/>
      <c r="H9" s="130"/>
    </row>
    <row r="10" spans="1:8" ht="18" customHeight="1" x14ac:dyDescent="0.2">
      <c r="A10" s="1030"/>
      <c r="B10" s="1031"/>
      <c r="C10" s="1038" t="s">
        <v>427</v>
      </c>
      <c r="D10" s="1039" t="s">
        <v>449</v>
      </c>
      <c r="E10" s="1040" t="str">
        <f>IF($D$10="Yes", "NO OF DAYS","")</f>
        <v/>
      </c>
      <c r="F10" s="1041">
        <v>1</v>
      </c>
      <c r="G10" s="1042" t="str">
        <f>IF($D$10="Yes", "RATE","")</f>
        <v/>
      </c>
      <c r="H10" s="1043">
        <v>0</v>
      </c>
    </row>
    <row r="11" spans="1:8" ht="18" customHeight="1" thickBot="1" x14ac:dyDescent="0.25">
      <c r="A11" s="605"/>
      <c r="B11" s="581"/>
      <c r="C11" s="578" t="s">
        <v>119</v>
      </c>
      <c r="D11" s="1229"/>
      <c r="E11" s="1230"/>
      <c r="F11" s="1230"/>
      <c r="G11" s="1230"/>
      <c r="H11" s="1231"/>
    </row>
    <row r="12" spans="1:8" ht="18" customHeight="1" thickTop="1" x14ac:dyDescent="0.2">
      <c r="A12" s="606"/>
      <c r="B12" s="579"/>
      <c r="C12" s="580" t="s">
        <v>323</v>
      </c>
      <c r="D12" s="1225"/>
      <c r="E12" s="1227"/>
      <c r="F12" s="1227"/>
      <c r="G12" s="1227"/>
      <c r="H12" s="1228"/>
    </row>
    <row r="13" spans="1:8" ht="18" customHeight="1" x14ac:dyDescent="0.2">
      <c r="A13" s="604"/>
      <c r="B13" s="573"/>
      <c r="C13" s="574" t="s">
        <v>162</v>
      </c>
      <c r="D13" s="1223"/>
      <c r="E13" s="1224"/>
      <c r="F13" s="1224"/>
      <c r="G13" s="624" t="s">
        <v>374</v>
      </c>
      <c r="H13" s="720"/>
    </row>
    <row r="14" spans="1:8" ht="18" customHeight="1" x14ac:dyDescent="0.2">
      <c r="A14" s="604"/>
      <c r="B14" s="573"/>
      <c r="C14" s="574" t="s">
        <v>361</v>
      </c>
      <c r="D14" s="1202"/>
      <c r="E14" s="1203"/>
      <c r="F14" s="1203"/>
      <c r="G14" s="624" t="s">
        <v>374</v>
      </c>
      <c r="H14" s="721"/>
    </row>
    <row r="15" spans="1:8" ht="18" customHeight="1" x14ac:dyDescent="0.2">
      <c r="A15" s="604"/>
      <c r="B15" s="573"/>
      <c r="C15" s="574" t="s">
        <v>163</v>
      </c>
      <c r="D15" s="378"/>
      <c r="E15" s="679" t="s">
        <v>246</v>
      </c>
      <c r="F15" s="533"/>
      <c r="G15" s="625" t="s">
        <v>247</v>
      </c>
      <c r="H15" s="722"/>
    </row>
    <row r="16" spans="1:8" ht="18" customHeight="1" thickBot="1" x14ac:dyDescent="0.25">
      <c r="A16" s="604"/>
      <c r="B16" s="573"/>
      <c r="C16" s="574" t="s">
        <v>243</v>
      </c>
      <c r="D16" s="1206"/>
      <c r="E16" s="1207"/>
      <c r="F16" s="682"/>
      <c r="G16" s="175"/>
      <c r="H16" s="529"/>
    </row>
    <row r="17" spans="1:16" ht="18" customHeight="1" thickTop="1" x14ac:dyDescent="0.2">
      <c r="A17" s="604"/>
      <c r="B17" s="573"/>
      <c r="C17" s="574" t="s">
        <v>115</v>
      </c>
      <c r="D17" s="723"/>
      <c r="E17" s="379">
        <f>IF(D17="none", "none",D17)</f>
        <v>0</v>
      </c>
      <c r="F17" s="599" t="s">
        <v>249</v>
      </c>
      <c r="G17" s="1217" t="s">
        <v>300</v>
      </c>
      <c r="H17" s="1218"/>
    </row>
    <row r="18" spans="1:16" ht="18" customHeight="1" x14ac:dyDescent="0.2">
      <c r="A18" s="604"/>
      <c r="B18" s="573"/>
      <c r="C18" s="574" t="s">
        <v>248</v>
      </c>
      <c r="D18" s="724"/>
      <c r="E18" s="142" t="str">
        <f>IF(D18="","&lt;--ERROR","")</f>
        <v>&lt;--ERROR</v>
      </c>
      <c r="F18" s="530"/>
      <c r="G18" s="1219"/>
      <c r="H18" s="1220"/>
    </row>
    <row r="19" spans="1:16" ht="18" customHeight="1" x14ac:dyDescent="0.2">
      <c r="A19" s="604"/>
      <c r="B19" s="576"/>
      <c r="C19" s="574" t="s">
        <v>29</v>
      </c>
      <c r="D19" s="725"/>
      <c r="E19" s="142"/>
      <c r="F19" s="531"/>
      <c r="G19" s="1221"/>
      <c r="H19" s="1222"/>
    </row>
    <row r="20" spans="1:16" ht="18" customHeight="1" thickBot="1" x14ac:dyDescent="0.25">
      <c r="A20" s="605"/>
      <c r="B20" s="577"/>
      <c r="C20" s="578" t="s">
        <v>164</v>
      </c>
      <c r="D20" s="702">
        <v>2012</v>
      </c>
      <c r="E20" s="701">
        <f>IF(D20=2010,0,IF(D20=2011,1,IF(D20=2012,2)))</f>
        <v>2</v>
      </c>
      <c r="F20" s="590" t="s">
        <v>250</v>
      </c>
      <c r="G20" s="1173"/>
      <c r="H20" s="1174"/>
    </row>
    <row r="21" spans="1:16" ht="18" customHeight="1" thickTop="1" x14ac:dyDescent="0.2">
      <c r="A21" s="1191" t="s">
        <v>464</v>
      </c>
      <c r="B21" s="1192"/>
      <c r="C21" s="1192"/>
      <c r="D21" s="1192"/>
      <c r="E21" s="1193"/>
      <c r="F21" s="590" t="s">
        <v>251</v>
      </c>
      <c r="G21" s="1173"/>
      <c r="H21" s="1174"/>
    </row>
    <row r="22" spans="1:16" ht="18" customHeight="1" x14ac:dyDescent="0.2">
      <c r="A22" s="1194"/>
      <c r="B22" s="1195"/>
      <c r="C22" s="1195"/>
      <c r="D22" s="1195"/>
      <c r="E22" s="1196"/>
      <c r="F22" s="590" t="s">
        <v>252</v>
      </c>
      <c r="G22" s="1189"/>
      <c r="H22" s="1174"/>
    </row>
    <row r="23" spans="1:16" ht="18" customHeight="1" x14ac:dyDescent="0.2">
      <c r="A23" s="1194"/>
      <c r="B23" s="1195"/>
      <c r="C23" s="1195"/>
      <c r="D23" s="1195"/>
      <c r="E23" s="1196"/>
      <c r="F23" s="590" t="s">
        <v>115</v>
      </c>
      <c r="G23" s="1204" t="s">
        <v>429</v>
      </c>
      <c r="H23" s="1205"/>
    </row>
    <row r="24" spans="1:16" ht="27.75" customHeight="1" thickBot="1" x14ac:dyDescent="0.25">
      <c r="A24" s="1197"/>
      <c r="B24" s="1198"/>
      <c r="C24" s="1198"/>
      <c r="D24" s="1198"/>
      <c r="E24" s="1199"/>
      <c r="F24" s="591" t="s">
        <v>362</v>
      </c>
      <c r="G24" s="1173"/>
      <c r="H24" s="1174"/>
    </row>
    <row r="25" spans="1:16" ht="18" customHeight="1" thickTop="1" x14ac:dyDescent="0.2">
      <c r="A25" s="1180" t="s">
        <v>30</v>
      </c>
      <c r="B25" s="1181"/>
      <c r="C25" s="1182"/>
      <c r="D25" s="380" t="str">
        <f>IF(H48&lt;H36,"USE TIME BASED FEES","PERCENTAGE BASED FEES")</f>
        <v>USE TIME BASED FEES</v>
      </c>
      <c r="E25" s="124"/>
      <c r="F25" s="592" t="s">
        <v>253</v>
      </c>
      <c r="G25" s="1173"/>
      <c r="H25" s="1174"/>
    </row>
    <row r="26" spans="1:16" ht="18" customHeight="1" x14ac:dyDescent="0.2">
      <c r="A26" s="607"/>
      <c r="B26" s="588"/>
      <c r="C26" s="589" t="s">
        <v>239</v>
      </c>
      <c r="D26" s="626">
        <v>100</v>
      </c>
      <c r="E26" s="467" t="s">
        <v>324</v>
      </c>
      <c r="F26" s="592" t="s">
        <v>254</v>
      </c>
      <c r="G26" s="1173"/>
      <c r="H26" s="1174"/>
    </row>
    <row r="27" spans="1:16" ht="18" customHeight="1" x14ac:dyDescent="0.2">
      <c r="A27" s="608"/>
      <c r="B27" s="583"/>
      <c r="C27" s="584" t="s">
        <v>142</v>
      </c>
      <c r="D27" s="726"/>
      <c r="E27" s="381"/>
      <c r="F27" s="593" t="s">
        <v>374</v>
      </c>
      <c r="G27" s="1189"/>
      <c r="H27" s="1190"/>
    </row>
    <row r="28" spans="1:16" ht="18" customHeight="1" x14ac:dyDescent="0.2">
      <c r="A28" s="604"/>
      <c r="B28" s="573"/>
      <c r="C28" s="574" t="s">
        <v>18</v>
      </c>
      <c r="D28" s="719"/>
      <c r="E28" s="381"/>
      <c r="F28" s="594" t="s">
        <v>245</v>
      </c>
      <c r="G28" s="1173"/>
      <c r="H28" s="1174"/>
    </row>
    <row r="29" spans="1:16" ht="18" customHeight="1" x14ac:dyDescent="0.2">
      <c r="A29" s="604"/>
      <c r="B29" s="573"/>
      <c r="C29" s="574" t="s">
        <v>120</v>
      </c>
      <c r="D29" s="723"/>
      <c r="E29" s="381"/>
      <c r="F29" s="595" t="s">
        <v>255</v>
      </c>
      <c r="G29" s="1173"/>
      <c r="H29" s="1174"/>
    </row>
    <row r="30" spans="1:16" ht="18" customHeight="1" thickBot="1" x14ac:dyDescent="0.25">
      <c r="A30" s="604"/>
      <c r="B30" s="573"/>
      <c r="C30" s="574" t="s">
        <v>256</v>
      </c>
      <c r="D30" s="723"/>
      <c r="E30" s="542"/>
      <c r="F30" s="596" t="s">
        <v>257</v>
      </c>
      <c r="G30" s="1175"/>
      <c r="H30" s="1176"/>
    </row>
    <row r="31" spans="1:16" ht="18" customHeight="1" thickTop="1" x14ac:dyDescent="0.25">
      <c r="A31" s="604"/>
      <c r="B31" s="585"/>
      <c r="C31" s="574" t="str">
        <f>IF(F31=1,"STAGE COMPLETED",IF(F31=6,"STAGE COMPLETED","STAGE"))</f>
        <v>STAGE COMPLETED</v>
      </c>
      <c r="D31" s="1164" t="s">
        <v>450</v>
      </c>
      <c r="E31" s="1165"/>
      <c r="F31" s="718">
        <f>IF(D31="INCEPTION",1,IF(D31="PRELIMINARY DESIGN: CONCEPT &amp; VIABILITY",2,IF(D31="DETAIL DESIGN",3,IF(D31="DOCUMENTATION &amp; PROCUREMENT",4,IF(D31="CONTRACT ADMINISTRATION &amp; INSPECTION",5,IF(D31="CLOSE OUT",6))))))</f>
        <v>1</v>
      </c>
      <c r="G31" s="21"/>
      <c r="H31" s="548"/>
      <c r="I31" s="1124"/>
      <c r="J31" s="1123"/>
      <c r="K31" s="1122"/>
      <c r="L31" s="1122"/>
      <c r="N31" s="1122"/>
      <c r="O31" s="1122"/>
      <c r="P31" s="1122"/>
    </row>
    <row r="32" spans="1:16" ht="18" customHeight="1" x14ac:dyDescent="0.25">
      <c r="A32" s="1030"/>
      <c r="B32" s="1044"/>
      <c r="C32" s="1045" t="str">
        <f>IF(F31=1,"",IF(F31&gt;4,"","PERCENTAGE OF STAGE COMPLETED"))</f>
        <v/>
      </c>
      <c r="D32" s="1046">
        <v>1</v>
      </c>
      <c r="E32" s="1169" t="s">
        <v>455</v>
      </c>
      <c r="F32" s="1170"/>
      <c r="G32" s="1171"/>
      <c r="H32" s="1172"/>
      <c r="I32" s="1125"/>
      <c r="J32" s="1126"/>
      <c r="K32" s="1122"/>
      <c r="L32" s="1122"/>
      <c r="N32" s="1122"/>
      <c r="O32" s="1122"/>
      <c r="P32" s="1122"/>
    </row>
    <row r="33" spans="1:16" ht="18" customHeight="1" thickBot="1" x14ac:dyDescent="0.3">
      <c r="A33" s="609"/>
      <c r="B33" s="586"/>
      <c r="C33" s="587" t="s">
        <v>184</v>
      </c>
      <c r="D33" s="433" t="s">
        <v>321</v>
      </c>
      <c r="E33" s="24"/>
      <c r="F33" s="24"/>
      <c r="G33" s="21"/>
      <c r="H33" s="1117"/>
      <c r="I33" s="1125"/>
      <c r="J33" s="1126"/>
      <c r="K33" s="1122"/>
      <c r="L33" s="1122"/>
      <c r="N33" s="1122"/>
      <c r="O33" s="1122"/>
      <c r="P33" s="1122"/>
    </row>
    <row r="34" spans="1:16" ht="18" customHeight="1" x14ac:dyDescent="0.25">
      <c r="A34" s="610"/>
      <c r="B34" s="600"/>
      <c r="C34" s="600"/>
      <c r="D34" s="601" t="s">
        <v>28</v>
      </c>
      <c r="E34" s="772" t="s">
        <v>321</v>
      </c>
      <c r="F34" s="21"/>
      <c r="G34" s="20"/>
      <c r="H34" s="549"/>
      <c r="I34" s="1124"/>
      <c r="J34" s="1123"/>
      <c r="K34" s="1122"/>
      <c r="L34" s="1122"/>
      <c r="N34" s="1122"/>
      <c r="O34" s="1122"/>
      <c r="P34" s="1122"/>
    </row>
    <row r="35" spans="1:16" ht="18" customHeight="1" x14ac:dyDescent="0.25">
      <c r="A35" s="604"/>
      <c r="B35" s="573"/>
      <c r="C35" s="573"/>
      <c r="D35" s="574" t="s">
        <v>377</v>
      </c>
      <c r="E35" s="772" t="s">
        <v>321</v>
      </c>
      <c r="F35" s="21"/>
      <c r="G35" s="20"/>
      <c r="H35" s="549"/>
      <c r="I35" s="1124"/>
      <c r="J35" s="1123"/>
      <c r="K35" s="1122"/>
      <c r="L35" s="1122"/>
      <c r="N35" s="1122"/>
      <c r="O35" s="1122"/>
      <c r="P35" s="1122"/>
    </row>
    <row r="36" spans="1:16" ht="18" customHeight="1" thickBot="1" x14ac:dyDescent="0.3">
      <c r="A36" s="605"/>
      <c r="B36" s="581"/>
      <c r="C36" s="581"/>
      <c r="D36" s="578" t="s">
        <v>165</v>
      </c>
      <c r="E36" s="773" t="s">
        <v>321</v>
      </c>
      <c r="F36" s="21"/>
      <c r="G36" s="25"/>
      <c r="H36" s="1118">
        <f>Scales!C3</f>
        <v>512000</v>
      </c>
      <c r="I36" s="1124"/>
      <c r="J36" s="1123"/>
      <c r="K36" s="1122"/>
      <c r="L36" s="1122"/>
      <c r="N36" s="1122"/>
      <c r="O36" s="1122"/>
      <c r="P36" s="1122"/>
    </row>
    <row r="37" spans="1:16" ht="67.5" customHeight="1" thickTop="1" thickBot="1" x14ac:dyDescent="0.25">
      <c r="A37" s="1177" t="s">
        <v>398</v>
      </c>
      <c r="B37" s="1178"/>
      <c r="C37" s="1178"/>
      <c r="D37" s="1179"/>
      <c r="E37" s="771" t="s">
        <v>308</v>
      </c>
      <c r="F37" s="1183" t="s">
        <v>309</v>
      </c>
      <c r="G37" s="1185" t="s">
        <v>310</v>
      </c>
      <c r="H37" s="1187" t="s">
        <v>151</v>
      </c>
    </row>
    <row r="38" spans="1:16" ht="22.5" customHeight="1" thickBot="1" x14ac:dyDescent="0.25">
      <c r="A38" s="543" t="s">
        <v>200</v>
      </c>
      <c r="B38" s="536"/>
      <c r="C38" s="536"/>
      <c r="D38" s="163" t="s">
        <v>414</v>
      </c>
      <c r="E38" s="647">
        <f>IF($F$31&lt;4,1,IF($D$38="TENDER VALUES",2,1))</f>
        <v>1</v>
      </c>
      <c r="F38" s="1184"/>
      <c r="G38" s="1186"/>
      <c r="H38" s="1188"/>
    </row>
    <row r="39" spans="1:16" ht="30" customHeight="1" thickTop="1" x14ac:dyDescent="0.2">
      <c r="A39" s="1166" t="s">
        <v>186</v>
      </c>
      <c r="B39" s="1167"/>
      <c r="C39" s="1167"/>
      <c r="D39" s="1168"/>
      <c r="E39" s="1066"/>
      <c r="F39" s="1066"/>
      <c r="G39" s="1066"/>
      <c r="H39" s="799">
        <f t="shared" ref="H39:H47" si="0">IF($E$9="e",IF($F$31&lt;5,E39,IF($F$31=5,F39,IF($F$31=6,G39))))</f>
        <v>0</v>
      </c>
    </row>
    <row r="40" spans="1:16" ht="30" customHeight="1" x14ac:dyDescent="0.2">
      <c r="A40" s="1159" t="s">
        <v>187</v>
      </c>
      <c r="B40" s="1162"/>
      <c r="C40" s="1162"/>
      <c r="D40" s="1163"/>
      <c r="E40" s="1067"/>
      <c r="F40" s="1067"/>
      <c r="G40" s="1067"/>
      <c r="H40" s="800">
        <f t="shared" si="0"/>
        <v>0</v>
      </c>
    </row>
    <row r="41" spans="1:16" ht="32.25" customHeight="1" x14ac:dyDescent="0.2">
      <c r="A41" s="1159" t="s">
        <v>188</v>
      </c>
      <c r="B41" s="1160"/>
      <c r="C41" s="1160"/>
      <c r="D41" s="1161"/>
      <c r="E41" s="1067"/>
      <c r="F41" s="1067"/>
      <c r="G41" s="1067"/>
      <c r="H41" s="800">
        <f t="shared" si="0"/>
        <v>0</v>
      </c>
    </row>
    <row r="42" spans="1:16" ht="41.25" customHeight="1" x14ac:dyDescent="0.2">
      <c r="A42" s="1159" t="s">
        <v>189</v>
      </c>
      <c r="B42" s="1162"/>
      <c r="C42" s="1162"/>
      <c r="D42" s="1163"/>
      <c r="E42" s="1067"/>
      <c r="F42" s="1067"/>
      <c r="G42" s="1067"/>
      <c r="H42" s="800">
        <f t="shared" si="0"/>
        <v>0</v>
      </c>
    </row>
    <row r="43" spans="1:16" ht="42.75" customHeight="1" x14ac:dyDescent="0.2">
      <c r="A43" s="1159" t="s">
        <v>190</v>
      </c>
      <c r="B43" s="1160"/>
      <c r="C43" s="1160"/>
      <c r="D43" s="1161"/>
      <c r="E43" s="1067"/>
      <c r="F43" s="1067"/>
      <c r="G43" s="1067"/>
      <c r="H43" s="800">
        <f t="shared" si="0"/>
        <v>0</v>
      </c>
    </row>
    <row r="44" spans="1:16" ht="47.25" customHeight="1" x14ac:dyDescent="0.2">
      <c r="A44" s="1159" t="s">
        <v>191</v>
      </c>
      <c r="B44" s="1160"/>
      <c r="C44" s="1160"/>
      <c r="D44" s="1161"/>
      <c r="E44" s="1067"/>
      <c r="F44" s="1067"/>
      <c r="G44" s="1067"/>
      <c r="H44" s="800">
        <f t="shared" si="0"/>
        <v>0</v>
      </c>
    </row>
    <row r="45" spans="1:16" ht="30" customHeight="1" x14ac:dyDescent="0.2">
      <c r="A45" s="1159" t="s">
        <v>192</v>
      </c>
      <c r="B45" s="1160"/>
      <c r="C45" s="1160"/>
      <c r="D45" s="1161"/>
      <c r="E45" s="1067"/>
      <c r="F45" s="1067"/>
      <c r="G45" s="1067"/>
      <c r="H45" s="800">
        <f t="shared" si="0"/>
        <v>0</v>
      </c>
    </row>
    <row r="46" spans="1:16" ht="41.25" customHeight="1" thickBot="1" x14ac:dyDescent="0.25">
      <c r="A46" s="1166" t="s">
        <v>193</v>
      </c>
      <c r="B46" s="1264"/>
      <c r="C46" s="1264"/>
      <c r="D46" s="1265"/>
      <c r="E46" s="1067"/>
      <c r="F46" s="1067"/>
      <c r="G46" s="1067"/>
      <c r="H46" s="801">
        <f t="shared" si="0"/>
        <v>0</v>
      </c>
    </row>
    <row r="47" spans="1:16" ht="42.75" customHeight="1" thickBot="1" x14ac:dyDescent="0.25">
      <c r="A47" s="1257" t="s">
        <v>202</v>
      </c>
      <c r="B47" s="1258"/>
      <c r="C47" s="1258"/>
      <c r="D47" s="1259"/>
      <c r="E47" s="1104">
        <f>'WTW Input'!E22</f>
        <v>0</v>
      </c>
      <c r="F47" s="1104">
        <f>'WTW Input'!F22</f>
        <v>0</v>
      </c>
      <c r="G47" s="1068">
        <f>'WTW Input'!G22</f>
        <v>0</v>
      </c>
      <c r="H47" s="802">
        <f t="shared" si="0"/>
        <v>0</v>
      </c>
    </row>
    <row r="48" spans="1:16" ht="30" customHeight="1" thickBot="1" x14ac:dyDescent="0.25">
      <c r="A48" s="1241" t="s">
        <v>305</v>
      </c>
      <c r="B48" s="1260"/>
      <c r="C48" s="1260"/>
      <c r="D48" s="1261"/>
      <c r="E48" s="1105">
        <f>SUM(E39:E47)</f>
        <v>0</v>
      </c>
      <c r="F48" s="1105">
        <f>SUM(F39:F47)</f>
        <v>0</v>
      </c>
      <c r="G48" s="1106">
        <f>SUM(G39:G47)</f>
        <v>0</v>
      </c>
      <c r="H48" s="1069">
        <f>IF(H57&gt;SUM(H39:H47),"ERROR",SUM(H39:H47))</f>
        <v>0</v>
      </c>
    </row>
    <row r="49" spans="1:8" ht="30" customHeight="1" thickBot="1" x14ac:dyDescent="0.25">
      <c r="A49" s="1262" t="str">
        <f>IF(F31=6,IF(H48=H57,"","THE VALUE OF ( C) MUST BE THE SAME AS (D)"),"")</f>
        <v/>
      </c>
      <c r="B49" s="1263"/>
      <c r="C49" s="1263"/>
      <c r="D49" s="1263"/>
      <c r="E49" s="1263"/>
      <c r="F49" s="296" t="str">
        <f>IF($F$31=6,IF($H$57=$H$48,"","ERROR"),"")</f>
        <v/>
      </c>
      <c r="G49" s="299" t="str">
        <f>IF($F$31=6,IF($H$59=$H$51,"","ERROR"),"")</f>
        <v/>
      </c>
      <c r="H49" s="550"/>
    </row>
    <row r="50" spans="1:8" ht="41.25" customHeight="1" thickBot="1" x14ac:dyDescent="0.25">
      <c r="A50" s="1266" t="s">
        <v>293</v>
      </c>
      <c r="B50" s="1267"/>
      <c r="C50" s="1267"/>
      <c r="D50" s="1268"/>
      <c r="E50" s="1107"/>
      <c r="F50" s="1107"/>
      <c r="G50" s="1108"/>
      <c r="H50" s="797">
        <f>IF($E$9="e",IF($F$31&lt;5,E50,IF($F$31=5,F50,IF($F$31=6,G50))))</f>
        <v>0</v>
      </c>
    </row>
    <row r="51" spans="1:8" ht="45" customHeight="1" thickBot="1" x14ac:dyDescent="0.25">
      <c r="A51" s="1269" t="s">
        <v>203</v>
      </c>
      <c r="B51" s="1270"/>
      <c r="C51" s="1270"/>
      <c r="D51" s="1271"/>
      <c r="E51" s="1109"/>
      <c r="F51" s="1109"/>
      <c r="G51" s="1070"/>
      <c r="H51" s="798">
        <f>IF($E$9="e",IF($F$31&lt;5,E51,IF($F$31=5,F51,IF($F$31=6,G51))))</f>
        <v>0</v>
      </c>
    </row>
    <row r="52" spans="1:8" ht="30.75" customHeight="1" thickTop="1" thickBot="1" x14ac:dyDescent="0.25">
      <c r="A52" s="1272" t="s">
        <v>401</v>
      </c>
      <c r="B52" s="1273"/>
      <c r="C52" s="1273"/>
      <c r="D52" s="1273"/>
      <c r="E52" s="791"/>
      <c r="F52" s="791"/>
      <c r="G52" s="791"/>
      <c r="H52" s="792"/>
    </row>
    <row r="53" spans="1:8" ht="51.75" customHeight="1" thickTop="1" thickBot="1" x14ac:dyDescent="0.25">
      <c r="A53" s="1255" t="s">
        <v>397</v>
      </c>
      <c r="B53" s="1256"/>
      <c r="C53" s="1256"/>
      <c r="D53" s="1256"/>
      <c r="E53" s="1256"/>
      <c r="F53" s="1256"/>
      <c r="G53" s="602" t="s">
        <v>311</v>
      </c>
      <c r="H53" s="631" t="s">
        <v>151</v>
      </c>
    </row>
    <row r="54" spans="1:8" ht="30" customHeight="1" thickTop="1" x14ac:dyDescent="0.2">
      <c r="A54" s="1234" t="s">
        <v>194</v>
      </c>
      <c r="B54" s="1235"/>
      <c r="C54" s="1235"/>
      <c r="D54" s="1235"/>
      <c r="E54" s="1236"/>
      <c r="F54" s="1237"/>
      <c r="G54" s="1071"/>
      <c r="H54" s="793">
        <f>IF($F$31&gt;4,G54,0)</f>
        <v>0</v>
      </c>
    </row>
    <row r="55" spans="1:8" ht="30" customHeight="1" x14ac:dyDescent="0.2">
      <c r="A55" s="1238" t="s">
        <v>195</v>
      </c>
      <c r="B55" s="1239"/>
      <c r="C55" s="1239"/>
      <c r="D55" s="1239"/>
      <c r="E55" s="1239"/>
      <c r="F55" s="1240"/>
      <c r="G55" s="1072"/>
      <c r="H55" s="794">
        <f>IF($F$31&gt;4,G55,0)</f>
        <v>0</v>
      </c>
    </row>
    <row r="56" spans="1:8" ht="30" customHeight="1" thickBot="1" x14ac:dyDescent="0.25">
      <c r="A56" s="1251" t="s">
        <v>209</v>
      </c>
      <c r="B56" s="1252"/>
      <c r="C56" s="1252"/>
      <c r="D56" s="1252"/>
      <c r="E56" s="1253"/>
      <c r="F56" s="1254"/>
      <c r="G56" s="1073">
        <f>'WTW Input'!H28</f>
        <v>0</v>
      </c>
      <c r="H56" s="795">
        <f>IF($F$31&gt;4,G56,0)</f>
        <v>0</v>
      </c>
    </row>
    <row r="57" spans="1:8" ht="30" customHeight="1" thickBot="1" x14ac:dyDescent="0.25">
      <c r="A57" s="1241" t="s">
        <v>295</v>
      </c>
      <c r="B57" s="1242"/>
      <c r="C57" s="1242"/>
      <c r="D57" s="1242"/>
      <c r="E57" s="1243"/>
      <c r="F57" s="1244"/>
      <c r="G57" s="1074">
        <f>G54+G55+G56</f>
        <v>0</v>
      </c>
      <c r="H57" s="1075">
        <f>H54+H55+H56</f>
        <v>0</v>
      </c>
    </row>
    <row r="58" spans="1:8" ht="36.75" customHeight="1" thickBot="1" x14ac:dyDescent="0.25">
      <c r="A58" s="1248" t="s">
        <v>294</v>
      </c>
      <c r="B58" s="1249"/>
      <c r="C58" s="1249"/>
      <c r="D58" s="1249"/>
      <c r="E58" s="1249"/>
      <c r="F58" s="1250"/>
      <c r="G58" s="1071"/>
      <c r="H58" s="796">
        <f>IF($F$31&gt;4,G58,0)</f>
        <v>0</v>
      </c>
    </row>
    <row r="59" spans="1:8" ht="39.75" customHeight="1" thickBot="1" x14ac:dyDescent="0.25">
      <c r="A59" s="1245" t="s">
        <v>378</v>
      </c>
      <c r="B59" s="1246"/>
      <c r="C59" s="1246"/>
      <c r="D59" s="1246"/>
      <c r="E59" s="1246"/>
      <c r="F59" s="1247"/>
      <c r="G59" s="1076"/>
      <c r="H59" s="1077">
        <f>IF($F$31&gt;4,G59,0)</f>
        <v>0</v>
      </c>
    </row>
    <row r="60" spans="1:8" ht="15.75" thickTop="1" x14ac:dyDescent="0.2">
      <c r="A60" s="8"/>
      <c r="B60" s="8"/>
      <c r="C60" s="8"/>
      <c r="D60" s="8"/>
      <c r="E60" s="8"/>
      <c r="F60" s="8"/>
      <c r="G60" s="8"/>
    </row>
    <row r="65" ht="18.75" customHeight="1" x14ac:dyDescent="0.2"/>
    <row r="72" ht="25.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114" spans="1:8" x14ac:dyDescent="0.2">
      <c r="A114" s="1"/>
      <c r="B114" s="1"/>
      <c r="C114" s="1"/>
      <c r="D114" s="1"/>
      <c r="E114" s="1"/>
      <c r="F114" s="1"/>
      <c r="G114" s="1"/>
      <c r="H114" s="1"/>
    </row>
    <row r="115" spans="1:8" x14ac:dyDescent="0.2">
      <c r="A115" s="1232"/>
      <c r="B115" s="1233"/>
      <c r="C115" s="1233"/>
      <c r="D115" s="1233"/>
      <c r="E115" s="1233"/>
      <c r="F115" s="1233"/>
      <c r="G115" s="1233"/>
      <c r="H115" s="1233"/>
    </row>
  </sheetData>
  <sheetProtection password="CD4C" sheet="1" objects="1" scenarios="1"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53">
    <mergeCell ref="G26:H26"/>
    <mergeCell ref="A53:F53"/>
    <mergeCell ref="A45:D45"/>
    <mergeCell ref="A47:D47"/>
    <mergeCell ref="A48:D48"/>
    <mergeCell ref="A49:E49"/>
    <mergeCell ref="A46:D46"/>
    <mergeCell ref="A50:D50"/>
    <mergeCell ref="A51:D51"/>
    <mergeCell ref="A52:D52"/>
    <mergeCell ref="A115:H115"/>
    <mergeCell ref="A54:F54"/>
    <mergeCell ref="A55:F55"/>
    <mergeCell ref="A57:F57"/>
    <mergeCell ref="A59:F59"/>
    <mergeCell ref="A58:F58"/>
    <mergeCell ref="A56:F56"/>
    <mergeCell ref="A1:H1"/>
    <mergeCell ref="E3:G3"/>
    <mergeCell ref="E2:G2"/>
    <mergeCell ref="G17:H19"/>
    <mergeCell ref="D13:F13"/>
    <mergeCell ref="G4:H4"/>
    <mergeCell ref="D12:H12"/>
    <mergeCell ref="D11:H11"/>
    <mergeCell ref="A21:E24"/>
    <mergeCell ref="D8:E8"/>
    <mergeCell ref="D14:F14"/>
    <mergeCell ref="G20:H20"/>
    <mergeCell ref="G21:H21"/>
    <mergeCell ref="G22:H22"/>
    <mergeCell ref="G23:H23"/>
    <mergeCell ref="G24:H24"/>
    <mergeCell ref="D16:E16"/>
    <mergeCell ref="G8:H8"/>
    <mergeCell ref="G29:H29"/>
    <mergeCell ref="G30:H30"/>
    <mergeCell ref="A37:D37"/>
    <mergeCell ref="A25:C25"/>
    <mergeCell ref="F37:F38"/>
    <mergeCell ref="G37:G38"/>
    <mergeCell ref="H37:H38"/>
    <mergeCell ref="G27:H27"/>
    <mergeCell ref="G28:H28"/>
    <mergeCell ref="G25:H25"/>
    <mergeCell ref="A44:D44"/>
    <mergeCell ref="A42:D42"/>
    <mergeCell ref="A41:D41"/>
    <mergeCell ref="D31:E31"/>
    <mergeCell ref="A43:D43"/>
    <mergeCell ref="A39:D39"/>
    <mergeCell ref="A40:D40"/>
    <mergeCell ref="E32:H32"/>
  </mergeCells>
  <phoneticPr fontId="0" type="noConversion"/>
  <dataValidations count="6">
    <dataValidation type="list" allowBlank="1" showInputMessage="1" showErrorMessage="1" sqref="D8:E8">
      <formula1>"CIVIL ENGINEERING,STRUCTURAL ENGINEERING, CIVIL &amp; STRUCTURAL ENGINEERING"</formula1>
    </dataValidation>
    <dataValidation type="list" allowBlank="1" showInputMessage="1" showErrorMessage="1" sqref="D38">
      <formula1>"ESTIMATES ONLY, TENDER VALUES"</formula1>
    </dataValidation>
    <dataValidation type="list" allowBlank="1" showInputMessage="1" showErrorMessage="1" sqref="D33 E34:E36">
      <formula1>"Y,N"</formula1>
    </dataValidation>
    <dataValidation type="list" allowBlank="1" showInputMessage="1" showErrorMessage="1" sqref="D31:E31">
      <formula1>"INCEPTION, PRELIMINARY DESIGN: CONCEPT &amp; VIABILITY,DETAIL DESIGN,DOCUMENTATION &amp; PROCUREMENT,CONTRACT ADMINISTRATION &amp; INSPECTION, CLOSE OUT"</formula1>
    </dataValidation>
    <dataValidation type="list" allowBlank="1" showInputMessage="1" showErrorMessage="1" sqref="D9">
      <formula1>"MULTI-DISCIPLINARY PROJECT,ENGINEERING PROJECT"</formula1>
    </dataValidation>
    <dataValidation type="list" allowBlank="1" showInputMessage="1" showErrorMessage="1" sqref="D10">
      <formula1>"Yes,No"</formula1>
    </dataValidation>
  </dataValidations>
  <printOptions horizontalCentered="1"/>
  <pageMargins left="0.74803149606299213" right="0.55118110236220474" top="0.74803149606299213" bottom="0.6692913385826772" header="0.51181102362204722" footer="0.51181102362204722"/>
  <pageSetup paperSize="9" scale="54" orientation="portrait" horizontalDpi="300" verticalDpi="300" r:id="rId2"/>
  <headerFooter alignWithMargins="0">
    <oddFooter>&amp;L&amp;"Arial,Regular"&amp;8&amp;F: &amp;A&amp;C&amp;"Arial,Regular"&amp;11&amp;P&amp;R&amp;"Arial,Regular"&amp;8&amp;D</oddFooter>
  </headerFooter>
  <rowBreaks count="1" manualBreakCount="1">
    <brk id="51" max="7"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43"/>
  </sheetPr>
  <dimension ref="A1:H116"/>
  <sheetViews>
    <sheetView zoomScale="70" zoomScaleNormal="70" zoomScaleSheetLayoutView="70" workbookViewId="0">
      <selection activeCell="D7" sqref="D7"/>
    </sheetView>
  </sheetViews>
  <sheetFormatPr defaultRowHeight="15" x14ac:dyDescent="0.2"/>
  <cols>
    <col min="1" max="1" width="18.33203125" customWidth="1"/>
    <col min="2" max="2" width="3.88671875" customWidth="1"/>
    <col min="3" max="3" width="10.44140625" customWidth="1"/>
    <col min="4" max="4" width="27.77734375" customWidth="1"/>
    <col min="5" max="5" width="19.109375" customWidth="1"/>
    <col min="6" max="6" width="21" customWidth="1"/>
    <col min="7" max="7" width="18.6640625" customWidth="1"/>
    <col min="8" max="8" width="16.44140625" customWidth="1"/>
  </cols>
  <sheetData>
    <row r="1" spans="1:8" ht="46.5" customHeight="1" thickTop="1" thickBot="1" x14ac:dyDescent="0.25">
      <c r="A1" s="1210" t="s">
        <v>393</v>
      </c>
      <c r="B1" s="1211"/>
      <c r="C1" s="1211"/>
      <c r="D1" s="1211"/>
      <c r="E1" s="1211"/>
      <c r="F1" s="1211"/>
      <c r="G1" s="1211"/>
      <c r="H1" s="1212"/>
    </row>
    <row r="2" spans="1:8" ht="46.5" customHeight="1" thickTop="1" x14ac:dyDescent="0.2">
      <c r="A2" s="553"/>
      <c r="B2" s="554"/>
      <c r="C2" s="554"/>
      <c r="D2" s="552"/>
      <c r="E2" s="1215" t="s">
        <v>410</v>
      </c>
      <c r="F2" s="1216"/>
      <c r="G2" s="1216"/>
      <c r="H2" s="140"/>
    </row>
    <row r="3" spans="1:8" ht="41.25" customHeight="1" thickBot="1" x14ac:dyDescent="0.25">
      <c r="A3" s="459"/>
      <c r="B3" s="141"/>
      <c r="C3" s="141"/>
      <c r="D3" s="141"/>
      <c r="E3" s="1154" t="str">
        <f>IF(E9="b","USE MULTI-DISCIPLINARY PROJECT INVOICE!!!",CONCATENATE(D9,":  ",D20," NDPW FEES"))</f>
        <v>USE MULTI-DISCIPLINARY PROJECT INVOICE!!!</v>
      </c>
      <c r="F3" s="1152"/>
      <c r="G3" s="1152"/>
      <c r="H3" s="648" t="str">
        <f>'Input Data'!H3</f>
        <v>Version: 1.0  2012-02</v>
      </c>
    </row>
    <row r="4" spans="1:8" ht="18" customHeight="1" thickTop="1" x14ac:dyDescent="0.2">
      <c r="A4" s="661"/>
      <c r="B4" s="571"/>
      <c r="C4" s="572" t="s">
        <v>302</v>
      </c>
      <c r="D4" s="662" t="s">
        <v>359</v>
      </c>
      <c r="E4" s="663"/>
      <c r="F4" s="664" t="s">
        <v>301</v>
      </c>
      <c r="G4" s="1287" t="s">
        <v>363</v>
      </c>
      <c r="H4" s="1288"/>
    </row>
    <row r="5" spans="1:8" ht="18" customHeight="1" x14ac:dyDescent="0.2">
      <c r="A5" s="665"/>
      <c r="B5" s="573"/>
      <c r="C5" s="574" t="s">
        <v>303</v>
      </c>
      <c r="D5" s="666">
        <v>79867</v>
      </c>
      <c r="E5" s="667"/>
      <c r="F5" s="537" t="s">
        <v>245</v>
      </c>
      <c r="G5" s="668" t="s">
        <v>365</v>
      </c>
      <c r="H5" s="669"/>
    </row>
    <row r="6" spans="1:8" ht="18" customHeight="1" x14ac:dyDescent="0.2">
      <c r="A6" s="665"/>
      <c r="B6" s="573"/>
      <c r="C6" s="574" t="s">
        <v>322</v>
      </c>
      <c r="D6" s="670">
        <v>2</v>
      </c>
      <c r="F6" s="537" t="s">
        <v>269</v>
      </c>
      <c r="G6" s="668" t="s">
        <v>366</v>
      </c>
      <c r="H6" s="669"/>
    </row>
    <row r="7" spans="1:8" ht="18" customHeight="1" x14ac:dyDescent="0.2">
      <c r="A7" s="665"/>
      <c r="B7" s="573"/>
      <c r="C7" s="574" t="s">
        <v>244</v>
      </c>
      <c r="D7" s="671" t="s">
        <v>360</v>
      </c>
      <c r="E7" s="667"/>
      <c r="F7" s="24" t="s">
        <v>265</v>
      </c>
      <c r="G7" s="668" t="s">
        <v>391</v>
      </c>
      <c r="H7" s="672"/>
    </row>
    <row r="8" spans="1:8" ht="18" customHeight="1" x14ac:dyDescent="0.2">
      <c r="A8" s="665"/>
      <c r="B8" s="573"/>
      <c r="C8" s="574" t="s">
        <v>313</v>
      </c>
      <c r="D8" s="1302" t="s">
        <v>314</v>
      </c>
      <c r="E8" s="1303"/>
      <c r="F8" s="537" t="s">
        <v>243</v>
      </c>
      <c r="G8" s="1309" t="s">
        <v>364</v>
      </c>
      <c r="H8" s="1310"/>
    </row>
    <row r="9" spans="1:8" ht="18" customHeight="1" x14ac:dyDescent="0.2">
      <c r="A9" s="665"/>
      <c r="B9" s="573"/>
      <c r="C9" s="575" t="s">
        <v>125</v>
      </c>
      <c r="D9" s="673" t="s">
        <v>459</v>
      </c>
      <c r="E9" s="451" t="str">
        <f>IF(D9="MULTI-DISCIPLINARY PROJECT","B","E")</f>
        <v>B</v>
      </c>
      <c r="F9" s="29"/>
      <c r="G9" s="29"/>
      <c r="H9" s="421"/>
    </row>
    <row r="10" spans="1:8" ht="18" customHeight="1" x14ac:dyDescent="0.2">
      <c r="A10" s="1078"/>
      <c r="B10" s="1031"/>
      <c r="C10" s="1038" t="s">
        <v>427</v>
      </c>
      <c r="D10" s="1039" t="s">
        <v>428</v>
      </c>
      <c r="E10" s="1040" t="str">
        <f>IF($D$10="Yes", "NO OF DAYS","")</f>
        <v>NO OF DAYS</v>
      </c>
      <c r="F10" s="1041">
        <v>30</v>
      </c>
      <c r="G10" s="1042" t="str">
        <f>IF($D$10="Yes", "RATE","")</f>
        <v>RATE</v>
      </c>
      <c r="H10" s="1043">
        <v>500</v>
      </c>
    </row>
    <row r="11" spans="1:8" ht="18" customHeight="1" thickBot="1" x14ac:dyDescent="0.25">
      <c r="A11" s="674"/>
      <c r="B11" s="581"/>
      <c r="C11" s="578" t="s">
        <v>119</v>
      </c>
      <c r="D11" s="1291" t="s">
        <v>389</v>
      </c>
      <c r="E11" s="1292"/>
      <c r="F11" s="1292"/>
      <c r="G11" s="1292"/>
      <c r="H11" s="1293"/>
    </row>
    <row r="12" spans="1:8" ht="18" customHeight="1" thickTop="1" x14ac:dyDescent="0.2">
      <c r="A12" s="675"/>
      <c r="B12" s="579"/>
      <c r="C12" s="580" t="s">
        <v>323</v>
      </c>
      <c r="D12" s="1287" t="s">
        <v>367</v>
      </c>
      <c r="E12" s="1289"/>
      <c r="F12" s="1289"/>
      <c r="G12" s="1289"/>
      <c r="H12" s="1290"/>
    </row>
    <row r="13" spans="1:8" ht="18" customHeight="1" x14ac:dyDescent="0.2">
      <c r="A13" s="665"/>
      <c r="B13" s="573"/>
      <c r="C13" s="574" t="s">
        <v>162</v>
      </c>
      <c r="D13" s="1285" t="s">
        <v>368</v>
      </c>
      <c r="E13" s="1286"/>
      <c r="F13" s="1286"/>
      <c r="G13" s="624" t="s">
        <v>374</v>
      </c>
      <c r="H13" s="676">
        <v>1034</v>
      </c>
    </row>
    <row r="14" spans="1:8" ht="18" customHeight="1" x14ac:dyDescent="0.2">
      <c r="A14" s="665"/>
      <c r="B14" s="573"/>
      <c r="C14" s="574" t="s">
        <v>361</v>
      </c>
      <c r="D14" s="1304" t="s">
        <v>369</v>
      </c>
      <c r="E14" s="1305"/>
      <c r="F14" s="1305"/>
      <c r="G14" s="624" t="s">
        <v>374</v>
      </c>
      <c r="H14" s="677">
        <v>1002</v>
      </c>
    </row>
    <row r="15" spans="1:8" ht="18" customHeight="1" x14ac:dyDescent="0.2">
      <c r="A15" s="665"/>
      <c r="B15" s="573"/>
      <c r="C15" s="574" t="s">
        <v>163</v>
      </c>
      <c r="D15" s="678" t="s">
        <v>370</v>
      </c>
      <c r="E15" s="679" t="s">
        <v>246</v>
      </c>
      <c r="F15" s="680" t="s">
        <v>390</v>
      </c>
      <c r="G15" s="679" t="s">
        <v>247</v>
      </c>
      <c r="H15" s="681" t="s">
        <v>371</v>
      </c>
    </row>
    <row r="16" spans="1:8" ht="18" customHeight="1" thickBot="1" x14ac:dyDescent="0.25">
      <c r="A16" s="665"/>
      <c r="B16" s="573"/>
      <c r="C16" s="574" t="s">
        <v>243</v>
      </c>
      <c r="D16" s="1307" t="s">
        <v>372</v>
      </c>
      <c r="E16" s="1308"/>
      <c r="F16" s="682"/>
      <c r="G16" s="537"/>
      <c r="H16" s="683"/>
    </row>
    <row r="17" spans="1:8" ht="18" customHeight="1" thickTop="1" x14ac:dyDescent="0.2">
      <c r="A17" s="665"/>
      <c r="B17" s="573"/>
      <c r="C17" s="574" t="s">
        <v>115</v>
      </c>
      <c r="D17" s="684" t="s">
        <v>376</v>
      </c>
      <c r="E17" s="379" t="s">
        <v>376</v>
      </c>
      <c r="F17" s="599" t="s">
        <v>249</v>
      </c>
      <c r="G17" s="1217" t="s">
        <v>300</v>
      </c>
      <c r="H17" s="1218"/>
    </row>
    <row r="18" spans="1:8" ht="18" customHeight="1" x14ac:dyDescent="0.2">
      <c r="A18" s="665"/>
      <c r="B18" s="573"/>
      <c r="C18" s="574" t="s">
        <v>248</v>
      </c>
      <c r="D18" s="685" t="s">
        <v>373</v>
      </c>
      <c r="E18" s="142" t="s">
        <v>411</v>
      </c>
      <c r="F18" s="530"/>
      <c r="G18" s="1219"/>
      <c r="H18" s="1220"/>
    </row>
    <row r="19" spans="1:8" ht="18" customHeight="1" x14ac:dyDescent="0.2">
      <c r="A19" s="665"/>
      <c r="B19" s="576"/>
      <c r="C19" s="574" t="s">
        <v>29</v>
      </c>
      <c r="D19" s="686">
        <v>41002</v>
      </c>
      <c r="E19" s="142"/>
      <c r="F19" s="531"/>
      <c r="G19" s="1221"/>
      <c r="H19" s="1222"/>
    </row>
    <row r="20" spans="1:8" ht="18" customHeight="1" thickBot="1" x14ac:dyDescent="0.25">
      <c r="A20" s="674"/>
      <c r="B20" s="577"/>
      <c r="C20" s="578" t="s">
        <v>164</v>
      </c>
      <c r="D20" s="1121">
        <f>'Input Data'!D20</f>
        <v>2012</v>
      </c>
      <c r="E20" s="582">
        <v>1</v>
      </c>
      <c r="F20" s="590" t="s">
        <v>250</v>
      </c>
      <c r="G20" s="1274" t="s">
        <v>380</v>
      </c>
      <c r="H20" s="1275"/>
    </row>
    <row r="21" spans="1:8" ht="18" customHeight="1" thickTop="1" x14ac:dyDescent="0.2">
      <c r="A21" s="1191" t="str">
        <f>'Input Data'!A21:E24</f>
        <v>Fee in accordance with the National Department of Public Works Scope of Engineering Services and Tariff of Fees for Persons Registered in terms of the Engineering Profession Act, 2000 (Act No. 46 of 2000) dated 1 January 2012</v>
      </c>
      <c r="B21" s="1294"/>
      <c r="C21" s="1294"/>
      <c r="D21" s="1294"/>
      <c r="E21" s="1295"/>
      <c r="F21" s="590" t="s">
        <v>251</v>
      </c>
      <c r="G21" s="1274" t="s">
        <v>381</v>
      </c>
      <c r="H21" s="1275"/>
    </row>
    <row r="22" spans="1:8" ht="18" customHeight="1" x14ac:dyDescent="0.2">
      <c r="A22" s="1296"/>
      <c r="B22" s="1297"/>
      <c r="C22" s="1297"/>
      <c r="D22" s="1297"/>
      <c r="E22" s="1298"/>
      <c r="F22" s="590" t="s">
        <v>252</v>
      </c>
      <c r="G22" s="1306" t="s">
        <v>382</v>
      </c>
      <c r="H22" s="1275"/>
    </row>
    <row r="23" spans="1:8" ht="18" customHeight="1" x14ac:dyDescent="0.2">
      <c r="A23" s="1296"/>
      <c r="B23" s="1297"/>
      <c r="C23" s="1297"/>
      <c r="D23" s="1297"/>
      <c r="E23" s="1298"/>
      <c r="F23" s="590" t="s">
        <v>115</v>
      </c>
      <c r="G23" s="1204" t="s">
        <v>429</v>
      </c>
      <c r="H23" s="1205"/>
    </row>
    <row r="24" spans="1:8" ht="27.75" customHeight="1" thickBot="1" x14ac:dyDescent="0.25">
      <c r="A24" s="1299"/>
      <c r="B24" s="1300"/>
      <c r="C24" s="1300"/>
      <c r="D24" s="1300"/>
      <c r="E24" s="1301"/>
      <c r="F24" s="591" t="s">
        <v>362</v>
      </c>
      <c r="G24" s="1274" t="s">
        <v>383</v>
      </c>
      <c r="H24" s="1275"/>
    </row>
    <row r="25" spans="1:8" ht="18" customHeight="1" thickTop="1" x14ac:dyDescent="0.2">
      <c r="A25" s="1180" t="s">
        <v>30</v>
      </c>
      <c r="B25" s="1312"/>
      <c r="C25" s="1313"/>
      <c r="D25" s="380" t="s">
        <v>412</v>
      </c>
      <c r="E25" s="29"/>
      <c r="F25" s="592" t="s">
        <v>253</v>
      </c>
      <c r="G25" s="1274" t="s">
        <v>384</v>
      </c>
      <c r="H25" s="1275"/>
    </row>
    <row r="26" spans="1:8" ht="18" customHeight="1" x14ac:dyDescent="0.2">
      <c r="A26" s="687"/>
      <c r="B26" s="588"/>
      <c r="C26" s="589" t="s">
        <v>239</v>
      </c>
      <c r="D26" s="688">
        <v>100</v>
      </c>
      <c r="E26" s="467" t="s">
        <v>324</v>
      </c>
      <c r="F26" s="592" t="s">
        <v>254</v>
      </c>
      <c r="G26" s="1274" t="s">
        <v>381</v>
      </c>
      <c r="H26" s="1275"/>
    </row>
    <row r="27" spans="1:8" ht="18" customHeight="1" x14ac:dyDescent="0.2">
      <c r="A27" s="689"/>
      <c r="B27" s="583"/>
      <c r="C27" s="584" t="s">
        <v>142</v>
      </c>
      <c r="D27" s="690">
        <v>41243</v>
      </c>
      <c r="E27" s="381"/>
      <c r="F27" s="593" t="s">
        <v>374</v>
      </c>
      <c r="G27" s="1306" t="s">
        <v>385</v>
      </c>
      <c r="H27" s="1317"/>
    </row>
    <row r="28" spans="1:8" ht="18" customHeight="1" x14ac:dyDescent="0.2">
      <c r="A28" s="665"/>
      <c r="B28" s="573"/>
      <c r="C28" s="574" t="s">
        <v>18</v>
      </c>
      <c r="D28" s="670">
        <v>10</v>
      </c>
      <c r="E28" s="381"/>
      <c r="F28" s="594" t="s">
        <v>245</v>
      </c>
      <c r="G28" s="1274" t="s">
        <v>386</v>
      </c>
      <c r="H28" s="1275"/>
    </row>
    <row r="29" spans="1:8" ht="18" customHeight="1" x14ac:dyDescent="0.2">
      <c r="A29" s="665"/>
      <c r="B29" s="573"/>
      <c r="C29" s="574" t="s">
        <v>120</v>
      </c>
      <c r="D29" s="684" t="s">
        <v>392</v>
      </c>
      <c r="E29" s="381"/>
      <c r="F29" s="595" t="s">
        <v>255</v>
      </c>
      <c r="G29" s="1274" t="s">
        <v>387</v>
      </c>
      <c r="H29" s="1275"/>
    </row>
    <row r="30" spans="1:8" ht="18" customHeight="1" thickBot="1" x14ac:dyDescent="0.25">
      <c r="A30" s="665"/>
      <c r="B30" s="573"/>
      <c r="C30" s="574" t="s">
        <v>256</v>
      </c>
      <c r="D30" s="684" t="s">
        <v>399</v>
      </c>
      <c r="E30" s="542"/>
      <c r="F30" s="596" t="s">
        <v>257</v>
      </c>
      <c r="G30" s="1291" t="s">
        <v>388</v>
      </c>
      <c r="H30" s="1311"/>
    </row>
    <row r="31" spans="1:8" ht="18" customHeight="1" thickTop="1" x14ac:dyDescent="0.2">
      <c r="A31" s="665"/>
      <c r="B31" s="585"/>
      <c r="C31" s="574" t="s">
        <v>413</v>
      </c>
      <c r="D31" s="1318" t="s">
        <v>327</v>
      </c>
      <c r="E31" s="1303"/>
      <c r="F31" s="597">
        <v>6</v>
      </c>
      <c r="G31" s="21"/>
      <c r="H31" s="548"/>
    </row>
    <row r="32" spans="1:8" ht="18" customHeight="1" x14ac:dyDescent="0.2">
      <c r="A32" s="1078"/>
      <c r="B32" s="1044"/>
      <c r="C32" s="1045" t="s">
        <v>430</v>
      </c>
      <c r="D32" s="1046">
        <v>1</v>
      </c>
      <c r="E32" s="1169" t="s">
        <v>455</v>
      </c>
      <c r="F32" s="1170"/>
      <c r="G32" s="1171"/>
      <c r="H32" s="1172"/>
    </row>
    <row r="33" spans="1:8" ht="18" customHeight="1" thickBot="1" x14ac:dyDescent="0.25">
      <c r="A33" s="691"/>
      <c r="B33" s="692"/>
      <c r="C33" s="587" t="s">
        <v>184</v>
      </c>
      <c r="D33" s="693" t="s">
        <v>321</v>
      </c>
      <c r="E33" s="24"/>
      <c r="F33" s="24"/>
      <c r="G33" s="21"/>
      <c r="H33" s="548"/>
    </row>
    <row r="34" spans="1:8" ht="18" customHeight="1" x14ac:dyDescent="0.2">
      <c r="A34" s="694"/>
      <c r="B34" s="600"/>
      <c r="C34" s="600"/>
      <c r="D34" s="601" t="s">
        <v>28</v>
      </c>
      <c r="E34" s="695" t="s">
        <v>315</v>
      </c>
      <c r="F34" s="21"/>
      <c r="G34" s="20"/>
      <c r="H34" s="549"/>
    </row>
    <row r="35" spans="1:8" ht="18" customHeight="1" x14ac:dyDescent="0.2">
      <c r="A35" s="665"/>
      <c r="B35" s="573"/>
      <c r="C35" s="573"/>
      <c r="D35" s="574" t="s">
        <v>377</v>
      </c>
      <c r="E35" s="696" t="s">
        <v>315</v>
      </c>
      <c r="F35" s="21"/>
      <c r="G35" s="20"/>
      <c r="H35" s="549"/>
    </row>
    <row r="36" spans="1:8" ht="18" customHeight="1" thickBot="1" x14ac:dyDescent="0.25">
      <c r="A36" s="674"/>
      <c r="B36" s="581"/>
      <c r="C36" s="581"/>
      <c r="D36" s="578" t="s">
        <v>165</v>
      </c>
      <c r="E36" s="697" t="s">
        <v>315</v>
      </c>
      <c r="F36" s="21"/>
      <c r="G36" s="25"/>
      <c r="H36" s="1120">
        <f>'Input Data'!H36</f>
        <v>512000</v>
      </c>
    </row>
    <row r="37" spans="1:8" ht="67.5" customHeight="1" thickTop="1" thickBot="1" x14ac:dyDescent="0.25">
      <c r="A37" s="1177" t="s">
        <v>398</v>
      </c>
      <c r="B37" s="1178"/>
      <c r="C37" s="1178"/>
      <c r="D37" s="1179"/>
      <c r="E37" s="646" t="s">
        <v>308</v>
      </c>
      <c r="F37" s="1183" t="s">
        <v>309</v>
      </c>
      <c r="G37" s="1185" t="s">
        <v>310</v>
      </c>
      <c r="H37" s="1187" t="s">
        <v>151</v>
      </c>
    </row>
    <row r="38" spans="1:8" ht="22.5" customHeight="1" thickBot="1" x14ac:dyDescent="0.25">
      <c r="A38" s="543" t="s">
        <v>200</v>
      </c>
      <c r="B38" s="536"/>
      <c r="C38" s="536"/>
      <c r="D38" s="698" t="s">
        <v>408</v>
      </c>
      <c r="E38" s="647">
        <v>2</v>
      </c>
      <c r="F38" s="1314"/>
      <c r="G38" s="1315"/>
      <c r="H38" s="1316"/>
    </row>
    <row r="39" spans="1:8" ht="30" customHeight="1" thickTop="1" x14ac:dyDescent="0.2">
      <c r="A39" s="1166" t="s">
        <v>186</v>
      </c>
      <c r="B39" s="1167"/>
      <c r="C39" s="1167"/>
      <c r="D39" s="1168"/>
      <c r="E39" s="1079">
        <v>2100000</v>
      </c>
      <c r="F39" s="1079">
        <v>2100000</v>
      </c>
      <c r="G39" s="1079">
        <v>2100000</v>
      </c>
      <c r="H39" s="803">
        <v>2100000</v>
      </c>
    </row>
    <row r="40" spans="1:8" ht="30" customHeight="1" x14ac:dyDescent="0.2">
      <c r="A40" s="1159" t="s">
        <v>187</v>
      </c>
      <c r="B40" s="1162"/>
      <c r="C40" s="1162"/>
      <c r="D40" s="1163"/>
      <c r="E40" s="1080">
        <v>1000000</v>
      </c>
      <c r="F40" s="1080">
        <v>1000000</v>
      </c>
      <c r="G40" s="1080">
        <v>1000000</v>
      </c>
      <c r="H40" s="803">
        <v>1000000</v>
      </c>
    </row>
    <row r="41" spans="1:8" ht="32.25" customHeight="1" x14ac:dyDescent="0.2">
      <c r="A41" s="1159" t="s">
        <v>188</v>
      </c>
      <c r="B41" s="1160"/>
      <c r="C41" s="1160"/>
      <c r="D41" s="1161"/>
      <c r="E41" s="1080">
        <v>900000</v>
      </c>
      <c r="F41" s="1080">
        <v>900000</v>
      </c>
      <c r="G41" s="1080">
        <v>900000</v>
      </c>
      <c r="H41" s="803">
        <v>900000</v>
      </c>
    </row>
    <row r="42" spans="1:8" ht="41.25" customHeight="1" x14ac:dyDescent="0.2">
      <c r="A42" s="1159" t="s">
        <v>189</v>
      </c>
      <c r="B42" s="1162"/>
      <c r="C42" s="1162"/>
      <c r="D42" s="1163"/>
      <c r="E42" s="1080">
        <v>800000</v>
      </c>
      <c r="F42" s="1080">
        <v>800000</v>
      </c>
      <c r="G42" s="1080">
        <v>800000</v>
      </c>
      <c r="H42" s="803">
        <v>800000</v>
      </c>
    </row>
    <row r="43" spans="1:8" ht="42.75" customHeight="1" x14ac:dyDescent="0.2">
      <c r="A43" s="1159" t="s">
        <v>190</v>
      </c>
      <c r="B43" s="1160"/>
      <c r="C43" s="1160"/>
      <c r="D43" s="1161"/>
      <c r="E43" s="1080">
        <v>700000</v>
      </c>
      <c r="F43" s="1080">
        <v>700000</v>
      </c>
      <c r="G43" s="1080">
        <v>700000</v>
      </c>
      <c r="H43" s="803">
        <v>700000</v>
      </c>
    </row>
    <row r="44" spans="1:8" ht="47.25" customHeight="1" x14ac:dyDescent="0.2">
      <c r="A44" s="1159" t="s">
        <v>191</v>
      </c>
      <c r="B44" s="1160"/>
      <c r="C44" s="1160"/>
      <c r="D44" s="1161"/>
      <c r="E44" s="1080">
        <v>600000</v>
      </c>
      <c r="F44" s="1080">
        <v>600000</v>
      </c>
      <c r="G44" s="1080">
        <v>600000</v>
      </c>
      <c r="H44" s="803">
        <v>600000</v>
      </c>
    </row>
    <row r="45" spans="1:8" ht="30" customHeight="1" x14ac:dyDescent="0.2">
      <c r="A45" s="1159" t="s">
        <v>192</v>
      </c>
      <c r="B45" s="1160"/>
      <c r="C45" s="1160"/>
      <c r="D45" s="1161"/>
      <c r="E45" s="1080">
        <v>500000</v>
      </c>
      <c r="F45" s="1080">
        <v>500000</v>
      </c>
      <c r="G45" s="1080">
        <v>500000</v>
      </c>
      <c r="H45" s="803">
        <v>500000</v>
      </c>
    </row>
    <row r="46" spans="1:8" ht="41.25" customHeight="1" thickBot="1" x14ac:dyDescent="0.25">
      <c r="A46" s="1166" t="s">
        <v>193</v>
      </c>
      <c r="B46" s="1264"/>
      <c r="C46" s="1264"/>
      <c r="D46" s="1265"/>
      <c r="E46" s="1080">
        <v>400000</v>
      </c>
      <c r="F46" s="1080">
        <v>400000</v>
      </c>
      <c r="G46" s="1080">
        <v>400000</v>
      </c>
      <c r="H46" s="803">
        <v>400000</v>
      </c>
    </row>
    <row r="47" spans="1:8" ht="42.75" customHeight="1" thickBot="1" x14ac:dyDescent="0.25">
      <c r="A47" s="1257" t="s">
        <v>202</v>
      </c>
      <c r="B47" s="1258"/>
      <c r="C47" s="1258"/>
      <c r="D47" s="1259"/>
      <c r="E47" s="1068">
        <v>4500000</v>
      </c>
      <c r="F47" s="1068">
        <v>4500000</v>
      </c>
      <c r="G47" s="1068">
        <v>4500000</v>
      </c>
      <c r="H47" s="802">
        <v>4500000</v>
      </c>
    </row>
    <row r="48" spans="1:8" ht="30" customHeight="1" thickBot="1" x14ac:dyDescent="0.25">
      <c r="A48" s="1241" t="s">
        <v>305</v>
      </c>
      <c r="B48" s="1260"/>
      <c r="C48" s="1260"/>
      <c r="D48" s="1261"/>
      <c r="E48" s="1069">
        <v>11500000</v>
      </c>
      <c r="F48" s="1069">
        <v>11500000</v>
      </c>
      <c r="G48" s="1069">
        <v>11500000</v>
      </c>
      <c r="H48" s="1069">
        <v>11500000</v>
      </c>
    </row>
    <row r="49" spans="1:8" ht="30" customHeight="1" thickBot="1" x14ac:dyDescent="0.25">
      <c r="A49" s="1262" t="s">
        <v>411</v>
      </c>
      <c r="B49" s="1263"/>
      <c r="C49" s="1263"/>
      <c r="D49" s="1263"/>
      <c r="E49" s="1263"/>
      <c r="F49" s="296" t="s">
        <v>411</v>
      </c>
      <c r="G49" s="299" t="s">
        <v>411</v>
      </c>
      <c r="H49" s="550"/>
    </row>
    <row r="50" spans="1:8" ht="30" customHeight="1" thickBot="1" x14ac:dyDescent="0.25">
      <c r="A50" s="1276"/>
      <c r="B50" s="1277"/>
      <c r="C50" s="1277"/>
      <c r="D50" s="1277"/>
      <c r="E50" s="1278"/>
      <c r="F50" s="297"/>
      <c r="G50" s="297"/>
      <c r="H50" s="298"/>
    </row>
    <row r="51" spans="1:8" ht="41.25" customHeight="1" thickBot="1" x14ac:dyDescent="0.25">
      <c r="A51" s="1266" t="s">
        <v>293</v>
      </c>
      <c r="B51" s="1267"/>
      <c r="C51" s="1267"/>
      <c r="D51" s="1268"/>
      <c r="E51" s="1081">
        <v>2000000</v>
      </c>
      <c r="F51" s="1081">
        <v>2000000</v>
      </c>
      <c r="G51" s="1081">
        <v>2000000</v>
      </c>
      <c r="H51" s="797">
        <v>2000000</v>
      </c>
    </row>
    <row r="52" spans="1:8" ht="45" customHeight="1" thickBot="1" x14ac:dyDescent="0.25">
      <c r="A52" s="1269" t="s">
        <v>203</v>
      </c>
      <c r="B52" s="1270"/>
      <c r="C52" s="1270"/>
      <c r="D52" s="1271"/>
      <c r="E52" s="1082">
        <v>15000000</v>
      </c>
      <c r="F52" s="1082">
        <v>15000000</v>
      </c>
      <c r="G52" s="1082">
        <v>15000000</v>
      </c>
      <c r="H52" s="798">
        <v>15000000</v>
      </c>
    </row>
    <row r="53" spans="1:8" ht="30.75" customHeight="1" thickTop="1" thickBot="1" x14ac:dyDescent="0.25">
      <c r="A53" s="1279" t="s">
        <v>401</v>
      </c>
      <c r="B53" s="1280"/>
      <c r="C53" s="1280"/>
      <c r="D53" s="1280"/>
      <c r="E53" s="699"/>
      <c r="F53" s="699"/>
      <c r="G53" s="699"/>
      <c r="H53" s="629"/>
    </row>
    <row r="54" spans="1:8" ht="51.75" customHeight="1" thickTop="1" thickBot="1" x14ac:dyDescent="0.25">
      <c r="A54" s="1255" t="s">
        <v>397</v>
      </c>
      <c r="B54" s="1256"/>
      <c r="C54" s="1256"/>
      <c r="D54" s="1256"/>
      <c r="E54" s="1256"/>
      <c r="F54" s="1256"/>
      <c r="G54" s="602" t="s">
        <v>311</v>
      </c>
      <c r="H54" s="631" t="s">
        <v>151</v>
      </c>
    </row>
    <row r="55" spans="1:8" ht="30" customHeight="1" thickTop="1" x14ac:dyDescent="0.2">
      <c r="A55" s="1281" t="s">
        <v>194</v>
      </c>
      <c r="B55" s="1282"/>
      <c r="C55" s="1282"/>
      <c r="D55" s="1282"/>
      <c r="E55" s="1283"/>
      <c r="F55" s="1284"/>
      <c r="G55" s="1083">
        <v>6100000</v>
      </c>
      <c r="H55" s="804">
        <v>6100000</v>
      </c>
    </row>
    <row r="56" spans="1:8" ht="30" customHeight="1" x14ac:dyDescent="0.2">
      <c r="A56" s="1238" t="s">
        <v>195</v>
      </c>
      <c r="B56" s="1239"/>
      <c r="C56" s="1239"/>
      <c r="D56" s="1239"/>
      <c r="E56" s="1239"/>
      <c r="F56" s="1239"/>
      <c r="G56" s="1084">
        <v>900000</v>
      </c>
      <c r="H56" s="805">
        <v>900000</v>
      </c>
    </row>
    <row r="57" spans="1:8" ht="30" customHeight="1" thickBot="1" x14ac:dyDescent="0.25">
      <c r="A57" s="1251" t="s">
        <v>209</v>
      </c>
      <c r="B57" s="1252"/>
      <c r="C57" s="1252"/>
      <c r="D57" s="1252"/>
      <c r="E57" s="1253"/>
      <c r="F57" s="1253"/>
      <c r="G57" s="1073">
        <v>4500000</v>
      </c>
      <c r="H57" s="806">
        <v>4500000</v>
      </c>
    </row>
    <row r="58" spans="1:8" ht="30" customHeight="1" thickBot="1" x14ac:dyDescent="0.25">
      <c r="A58" s="1241" t="s">
        <v>295</v>
      </c>
      <c r="B58" s="1242"/>
      <c r="C58" s="1242"/>
      <c r="D58" s="1242"/>
      <c r="E58" s="1243"/>
      <c r="F58" s="1243"/>
      <c r="G58" s="1074">
        <v>11500000</v>
      </c>
      <c r="H58" s="1085">
        <v>11500000</v>
      </c>
    </row>
    <row r="59" spans="1:8" ht="36.75" customHeight="1" thickBot="1" x14ac:dyDescent="0.25">
      <c r="A59" s="1248" t="s">
        <v>294</v>
      </c>
      <c r="B59" s="1249"/>
      <c r="C59" s="1249"/>
      <c r="D59" s="1249"/>
      <c r="E59" s="1249"/>
      <c r="F59" s="1249"/>
      <c r="G59" s="1083">
        <v>2000000</v>
      </c>
      <c r="H59" s="807">
        <v>2000000</v>
      </c>
    </row>
    <row r="60" spans="1:8" ht="39.75" customHeight="1" thickBot="1" x14ac:dyDescent="0.25">
      <c r="A60" s="1245" t="s">
        <v>378</v>
      </c>
      <c r="B60" s="1246"/>
      <c r="C60" s="1246"/>
      <c r="D60" s="1246"/>
      <c r="E60" s="1246"/>
      <c r="F60" s="1246"/>
      <c r="G60" s="1086">
        <v>15000000</v>
      </c>
      <c r="H60" s="1087">
        <v>15000000</v>
      </c>
    </row>
    <row r="61" spans="1:8" ht="15.75" thickTop="1" x14ac:dyDescent="0.2">
      <c r="A61" s="8"/>
      <c r="B61" s="8"/>
      <c r="C61" s="8"/>
      <c r="D61" s="8"/>
      <c r="E61" s="8"/>
      <c r="F61" s="8"/>
      <c r="G61" s="8"/>
    </row>
    <row r="66" ht="18.75" customHeight="1" x14ac:dyDescent="0.2"/>
    <row r="73" ht="25.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115" spans="1:8" x14ac:dyDescent="0.2">
      <c r="A115" s="1"/>
      <c r="B115" s="1"/>
      <c r="C115" s="1"/>
      <c r="D115" s="1"/>
      <c r="E115" s="1"/>
      <c r="F115" s="1"/>
      <c r="G115" s="1"/>
      <c r="H115" s="1"/>
    </row>
    <row r="116" spans="1:8" x14ac:dyDescent="0.2">
      <c r="A116" s="1232"/>
      <c r="B116" s="1233"/>
      <c r="C116" s="1233"/>
      <c r="D116" s="1233"/>
      <c r="E116" s="1233"/>
      <c r="F116" s="1233"/>
      <c r="G116" s="1233"/>
      <c r="H116" s="1233"/>
    </row>
  </sheetData>
  <sheetProtection password="CD4C" sheet="1" objects="1" scenarios="1" formatColumns="0" formatRows="0"/>
  <mergeCells count="53">
    <mergeCell ref="A44:D44"/>
    <mergeCell ref="A42:D42"/>
    <mergeCell ref="A41:D41"/>
    <mergeCell ref="D31:E31"/>
    <mergeCell ref="A43:D43"/>
    <mergeCell ref="A39:D39"/>
    <mergeCell ref="A40:D40"/>
    <mergeCell ref="E32:H32"/>
    <mergeCell ref="G29:H29"/>
    <mergeCell ref="G30:H30"/>
    <mergeCell ref="A37:D37"/>
    <mergeCell ref="A25:C25"/>
    <mergeCell ref="F37:F38"/>
    <mergeCell ref="G37:G38"/>
    <mergeCell ref="H37:H38"/>
    <mergeCell ref="G27:H27"/>
    <mergeCell ref="G28:H28"/>
    <mergeCell ref="G25:H25"/>
    <mergeCell ref="A21:E24"/>
    <mergeCell ref="D8:E8"/>
    <mergeCell ref="D14:F14"/>
    <mergeCell ref="G20:H20"/>
    <mergeCell ref="G21:H21"/>
    <mergeCell ref="G22:H22"/>
    <mergeCell ref="G23:H23"/>
    <mergeCell ref="G24:H24"/>
    <mergeCell ref="D16:E16"/>
    <mergeCell ref="G8:H8"/>
    <mergeCell ref="A1:H1"/>
    <mergeCell ref="E2:G2"/>
    <mergeCell ref="G17:H19"/>
    <mergeCell ref="D13:F13"/>
    <mergeCell ref="G4:H4"/>
    <mergeCell ref="D12:H12"/>
    <mergeCell ref="D11:H11"/>
    <mergeCell ref="A53:D53"/>
    <mergeCell ref="A116:H116"/>
    <mergeCell ref="A55:F55"/>
    <mergeCell ref="A56:F56"/>
    <mergeCell ref="A58:F58"/>
    <mergeCell ref="A60:F60"/>
    <mergeCell ref="A59:F59"/>
    <mergeCell ref="A57:F57"/>
    <mergeCell ref="G26:H26"/>
    <mergeCell ref="A54:F54"/>
    <mergeCell ref="A45:D45"/>
    <mergeCell ref="A47:D47"/>
    <mergeCell ref="A50:E50"/>
    <mergeCell ref="A48:D48"/>
    <mergeCell ref="A49:E49"/>
    <mergeCell ref="A46:D46"/>
    <mergeCell ref="A51:D51"/>
    <mergeCell ref="A52:D52"/>
  </mergeCells>
  <phoneticPr fontId="0" type="noConversion"/>
  <dataValidations count="6">
    <dataValidation type="list" allowBlank="1" showInputMessage="1" showErrorMessage="1" sqref="D8:E8">
      <formula1>"CIVIL ENGINEERING,STRUCTURAL ENGINEERING, CIVIL &amp; STRUCTURAL ENGINEERING"</formula1>
    </dataValidation>
    <dataValidation type="list" allowBlank="1" showInputMessage="1" showErrorMessage="1" sqref="D38">
      <formula1>"ESTIMATES ONLY, TENDER VALUES"</formula1>
    </dataValidation>
    <dataValidation type="list" allowBlank="1" showInputMessage="1" showErrorMessage="1" sqref="D33 E34:E36">
      <formula1>"Y,N"</formula1>
    </dataValidation>
    <dataValidation type="list" allowBlank="1" showInputMessage="1" showErrorMessage="1" sqref="D31:E31">
      <formula1>"INCEPTION, CONCEPT &amp; VIABILITY,DESIGN DEVELOPMENT,DOCUMENTATION &amp; PROCUREMENT,CONTRACT ADMINISTRATION &amp; INSPECTION, CLOSE OUT"</formula1>
    </dataValidation>
    <dataValidation type="list" allowBlank="1" showInputMessage="1" showErrorMessage="1" sqref="D9">
      <formula1>"MULTI-DISCIPLINARY PROJECT,ENGINEERING PROJECT"</formula1>
    </dataValidation>
    <dataValidation type="list" allowBlank="1" showInputMessage="1" showErrorMessage="1" sqref="D10">
      <formula1>"Yes,No"</formula1>
    </dataValidation>
  </dataValidations>
  <printOptions horizontalCentered="1"/>
  <pageMargins left="0.74803149606299213" right="0.55118110236220474" top="0.74803149606299213" bottom="0.6692913385826772" header="0.51181102362204722" footer="0.51181102362204722"/>
  <pageSetup paperSize="9" scale="54" orientation="portrait" horizontalDpi="300" verticalDpi="300" r:id="rId1"/>
  <headerFooter alignWithMargins="0">
    <oddFooter>&amp;L&amp;"Arial,Regular"&amp;8&amp;F: &amp;A&amp;C&amp;"Arial,Regular"&amp;11&amp;P&amp;R&amp;"Arial,Regular"&amp;8&amp;D</oddFooter>
  </headerFooter>
  <rowBreaks count="1" manualBreakCount="1">
    <brk id="52"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2"/>
  </sheetPr>
  <dimension ref="A1:S179"/>
  <sheetViews>
    <sheetView zoomScale="70" zoomScaleNormal="70" zoomScaleSheetLayoutView="70" workbookViewId="0">
      <selection activeCell="B13" sqref="B13:O13"/>
    </sheetView>
  </sheetViews>
  <sheetFormatPr defaultRowHeight="15" x14ac:dyDescent="0.2"/>
  <cols>
    <col min="1" max="1" width="17.44140625" customWidth="1"/>
    <col min="2" max="2" width="17.21875" customWidth="1"/>
    <col min="3" max="3" width="5.6640625" customWidth="1"/>
    <col min="4" max="4" width="5" customWidth="1"/>
    <col min="5" max="5" width="4.33203125" customWidth="1"/>
    <col min="6" max="6" width="2.44140625" customWidth="1"/>
    <col min="7" max="7" width="4.109375" customWidth="1"/>
    <col min="8" max="8" width="1.88671875" customWidth="1"/>
    <col min="9" max="10" width="4.33203125" customWidth="1"/>
    <col min="11" max="11" width="12.21875" customWidth="1"/>
    <col min="12" max="12" width="3.21875" customWidth="1"/>
    <col min="13" max="13" width="13.88671875" customWidth="1"/>
    <col min="14" max="14" width="6.109375" customWidth="1"/>
    <col min="15" max="15" width="16" customWidth="1"/>
    <col min="16" max="16" width="5.77734375" customWidth="1"/>
    <col min="17" max="17" width="18.77734375" customWidth="1"/>
    <col min="19" max="19" width="16.44140625" bestFit="1" customWidth="1"/>
  </cols>
  <sheetData>
    <row r="1" spans="1:18" ht="38.25" customHeight="1" thickTop="1" x14ac:dyDescent="0.2">
      <c r="A1" s="551"/>
      <c r="B1" s="552"/>
      <c r="C1" s="552"/>
      <c r="D1" s="538"/>
      <c r="E1" s="520"/>
      <c r="F1" s="520"/>
      <c r="G1" s="521"/>
      <c r="H1" s="522"/>
      <c r="I1" s="522"/>
      <c r="J1" s="523"/>
      <c r="K1" s="520" t="s">
        <v>396</v>
      </c>
      <c r="L1" s="538"/>
      <c r="M1" s="622"/>
      <c r="N1" s="524"/>
      <c r="O1" s="628"/>
      <c r="P1" s="538"/>
      <c r="Q1" s="657"/>
      <c r="R1" s="129"/>
    </row>
    <row r="2" spans="1:18" ht="28.5" customHeight="1" x14ac:dyDescent="0.2">
      <c r="A2" s="553" t="s">
        <v>329</v>
      </c>
      <c r="B2" s="554"/>
      <c r="C2" s="554"/>
      <c r="D2" s="29"/>
      <c r="E2" s="29"/>
      <c r="F2" s="525"/>
      <c r="G2" s="29"/>
      <c r="H2" s="525"/>
      <c r="I2" s="413"/>
      <c r="J2" s="413"/>
      <c r="K2" s="29"/>
      <c r="L2" s="621" t="str">
        <f>'Input Data'!E2</f>
        <v xml:space="preserve">STRUCTURAL ENGINEERING  </v>
      </c>
      <c r="M2" s="526" t="str">
        <f>'Input Data'!E3</f>
        <v>ENGINEERING PROJECT:  2012 NDPW FEES</v>
      </c>
      <c r="N2" s="527"/>
      <c r="O2" s="413"/>
      <c r="P2" s="413"/>
      <c r="Q2" s="649" t="str">
        <f>'Input Data'!H3</f>
        <v>Version: 1.0  2012-02</v>
      </c>
      <c r="R2" s="129"/>
    </row>
    <row r="3" spans="1:18" ht="15" customHeight="1" thickBot="1" x14ac:dyDescent="0.25">
      <c r="A3" s="414"/>
      <c r="B3" s="22"/>
      <c r="C3" s="22"/>
      <c r="D3" s="407"/>
      <c r="E3" s="22"/>
      <c r="F3" s="408"/>
      <c r="G3" s="408"/>
      <c r="H3" s="408"/>
      <c r="I3" s="22"/>
      <c r="J3" s="22"/>
      <c r="K3" s="29"/>
      <c r="L3" s="386" t="s">
        <v>18</v>
      </c>
      <c r="M3" s="639">
        <f>'Input Data'!D28</f>
        <v>0</v>
      </c>
      <c r="N3" s="22"/>
      <c r="O3" s="29"/>
      <c r="P3" s="384" t="s">
        <v>142</v>
      </c>
      <c r="Q3" s="488">
        <f>'Input Data'!D27</f>
        <v>0</v>
      </c>
      <c r="R3" s="129"/>
    </row>
    <row r="4" spans="1:18" ht="18" customHeight="1" thickTop="1" thickBot="1" x14ac:dyDescent="0.25">
      <c r="A4" s="383" t="s">
        <v>299</v>
      </c>
      <c r="B4" s="481">
        <f>'Input Data'!D5</f>
        <v>0</v>
      </c>
      <c r="C4" s="1366" t="s">
        <v>330</v>
      </c>
      <c r="D4" s="1367"/>
      <c r="E4" s="1367"/>
      <c r="F4" s="1367"/>
      <c r="G4" s="1367"/>
      <c r="H4" s="1375">
        <f>'Input Data'!$D$6</f>
        <v>0</v>
      </c>
      <c r="I4" s="1376"/>
      <c r="J4" s="31"/>
      <c r="K4" s="31"/>
      <c r="L4" s="32"/>
      <c r="M4" s="29"/>
      <c r="N4" s="29"/>
      <c r="O4" s="382" t="s">
        <v>258</v>
      </c>
      <c r="P4" s="1334">
        <f>'Input Data'!D7</f>
        <v>0</v>
      </c>
      <c r="Q4" s="1354"/>
      <c r="R4" s="129"/>
    </row>
    <row r="5" spans="1:18" ht="20.25" customHeight="1" thickTop="1" thickBot="1" x14ac:dyDescent="0.25">
      <c r="A5" s="479" t="s">
        <v>19</v>
      </c>
      <c r="B5" s="1358">
        <f>'Input Data'!D11</f>
        <v>0</v>
      </c>
      <c r="C5" s="1359"/>
      <c r="D5" s="1359"/>
      <c r="E5" s="1359"/>
      <c r="F5" s="1359"/>
      <c r="G5" s="1359"/>
      <c r="H5" s="1359"/>
      <c r="I5" s="1359"/>
      <c r="J5" s="1359"/>
      <c r="K5" s="1359"/>
      <c r="L5" s="1359"/>
      <c r="M5" s="1359"/>
      <c r="N5" s="1359"/>
      <c r="O5" s="1359"/>
      <c r="P5" s="1359"/>
      <c r="Q5" s="1360"/>
      <c r="R5" s="129"/>
    </row>
    <row r="6" spans="1:18" ht="20.100000000000001" customHeight="1" thickTop="1" x14ac:dyDescent="0.2">
      <c r="A6" s="400" t="s">
        <v>249</v>
      </c>
      <c r="B6" s="1361" t="str">
        <f>'Input Data'!G17</f>
        <v>NATIONAL DEPARTMENT OF PUBLIC WORKS</v>
      </c>
      <c r="C6" s="1362"/>
      <c r="D6" s="1362"/>
      <c r="E6" s="1362"/>
      <c r="F6" s="1362"/>
      <c r="G6" s="1362"/>
      <c r="H6" s="1362"/>
      <c r="I6" s="1362"/>
      <c r="J6" s="1363"/>
      <c r="K6" s="1368" t="s">
        <v>259</v>
      </c>
      <c r="L6" s="1264"/>
      <c r="M6" s="539">
        <f>'Input Data'!D4</f>
        <v>0</v>
      </c>
      <c r="N6" s="1373" t="s">
        <v>260</v>
      </c>
      <c r="O6" s="1374"/>
      <c r="P6" s="1356" t="str">
        <f>'Input Data'!G23</f>
        <v>NOT REGISTERED</v>
      </c>
      <c r="Q6" s="1357"/>
      <c r="R6" s="129"/>
    </row>
    <row r="7" spans="1:18" ht="20.100000000000001" customHeight="1" x14ac:dyDescent="0.2">
      <c r="A7" s="400" t="s">
        <v>291</v>
      </c>
      <c r="B7" s="1364">
        <f>'Input Data'!G20</f>
        <v>0</v>
      </c>
      <c r="C7" s="1365"/>
      <c r="D7" s="1365"/>
      <c r="E7" s="1365"/>
      <c r="F7" s="1365"/>
      <c r="G7" s="1365"/>
      <c r="H7" s="1365"/>
      <c r="I7" s="1365"/>
      <c r="J7" s="1365"/>
      <c r="K7" s="1368" t="s">
        <v>261</v>
      </c>
      <c r="L7" s="1264"/>
      <c r="M7" s="1369">
        <f>'Input Data'!G21</f>
        <v>0</v>
      </c>
      <c r="N7" s="1370"/>
      <c r="O7" s="1370"/>
      <c r="P7" s="387" t="s">
        <v>374</v>
      </c>
      <c r="Q7" s="489">
        <f>'Input Data'!G22</f>
        <v>0</v>
      </c>
      <c r="R7" s="129"/>
    </row>
    <row r="8" spans="1:18" ht="20.100000000000001" customHeight="1" x14ac:dyDescent="0.2">
      <c r="A8" s="400" t="s">
        <v>375</v>
      </c>
      <c r="B8" s="1364">
        <f>'Input Data'!G25</f>
        <v>0</v>
      </c>
      <c r="C8" s="1365"/>
      <c r="D8" s="1365"/>
      <c r="E8" s="1365"/>
      <c r="F8" s="1365"/>
      <c r="G8" s="1365"/>
      <c r="H8" s="1365"/>
      <c r="I8" s="1365"/>
      <c r="J8" s="1365"/>
      <c r="K8" s="1368" t="s">
        <v>262</v>
      </c>
      <c r="L8" s="1264"/>
      <c r="M8" s="1369">
        <f>'Input Data'!G26</f>
        <v>0</v>
      </c>
      <c r="N8" s="1370"/>
      <c r="O8" s="1370"/>
      <c r="P8" s="387" t="s">
        <v>374</v>
      </c>
      <c r="Q8" s="489">
        <f>'Input Data'!G27</f>
        <v>0</v>
      </c>
      <c r="R8" s="129"/>
    </row>
    <row r="9" spans="1:18" ht="20.100000000000001" customHeight="1" x14ac:dyDescent="0.2">
      <c r="A9" s="400" t="s">
        <v>263</v>
      </c>
      <c r="B9" s="1364">
        <f>'Input Data'!G24</f>
        <v>0</v>
      </c>
      <c r="C9" s="1365"/>
      <c r="D9" s="1365"/>
      <c r="E9" s="1365"/>
      <c r="F9" s="1365"/>
      <c r="G9" s="1365"/>
      <c r="H9" s="1365"/>
      <c r="I9" s="1365"/>
      <c r="J9" s="1377"/>
      <c r="K9" s="22"/>
      <c r="L9" s="541" t="s">
        <v>264</v>
      </c>
      <c r="M9" s="483">
        <f>'Input Data'!G28</f>
        <v>0</v>
      </c>
      <c r="N9" s="387" t="s">
        <v>395</v>
      </c>
      <c r="O9" s="483">
        <f>'Input Data'!G29</f>
        <v>0</v>
      </c>
      <c r="P9" s="387" t="s">
        <v>266</v>
      </c>
      <c r="Q9" s="490">
        <f>'Input Data'!G30</f>
        <v>0</v>
      </c>
      <c r="R9" s="129"/>
    </row>
    <row r="10" spans="1:18" ht="20.100000000000001" customHeight="1" thickBot="1" x14ac:dyDescent="0.25">
      <c r="A10" s="544" t="s">
        <v>267</v>
      </c>
      <c r="B10" s="1378">
        <f>'Input Data'!G4</f>
        <v>0</v>
      </c>
      <c r="C10" s="1379"/>
      <c r="D10" s="1379"/>
      <c r="E10" s="1379"/>
      <c r="F10" s="1379"/>
      <c r="G10" s="1379"/>
      <c r="H10" s="1380"/>
      <c r="I10" s="388" t="s">
        <v>166</v>
      </c>
      <c r="J10" s="1383">
        <f>'Input Data'!G5</f>
        <v>0</v>
      </c>
      <c r="K10" s="1384"/>
      <c r="L10" s="540" t="s">
        <v>185</v>
      </c>
      <c r="M10" s="480">
        <f>'Input Data'!G6</f>
        <v>0</v>
      </c>
      <c r="N10" s="627" t="s">
        <v>268</v>
      </c>
      <c r="O10" s="1412">
        <f>'Input Data'!G8</f>
        <v>0</v>
      </c>
      <c r="P10" s="1413"/>
      <c r="Q10" s="1311"/>
      <c r="R10" s="129"/>
    </row>
    <row r="11" spans="1:18" ht="23.25" customHeight="1" thickTop="1" x14ac:dyDescent="0.2">
      <c r="A11" s="528" t="s">
        <v>334</v>
      </c>
      <c r="B11" s="501"/>
      <c r="C11" s="502"/>
      <c r="D11" s="502"/>
      <c r="E11" s="502"/>
      <c r="F11" s="502"/>
      <c r="G11" s="502"/>
      <c r="H11" s="502"/>
      <c r="I11" s="502"/>
      <c r="J11" s="637"/>
      <c r="K11" s="638"/>
      <c r="L11" s="503"/>
      <c r="M11" s="504"/>
      <c r="N11" s="505"/>
      <c r="O11" s="500"/>
      <c r="P11" s="502"/>
      <c r="Q11" s="555"/>
      <c r="R11" s="129"/>
    </row>
    <row r="12" spans="1:18" ht="20.100000000000001" customHeight="1" x14ac:dyDescent="0.2">
      <c r="A12" s="400" t="s">
        <v>394</v>
      </c>
      <c r="B12" s="1371">
        <f>'Input Data'!D12</f>
        <v>0</v>
      </c>
      <c r="C12" s="1372"/>
      <c r="D12" s="1372"/>
      <c r="E12" s="1372"/>
      <c r="F12" s="1372"/>
      <c r="G12" s="1372"/>
      <c r="H12" s="1372"/>
      <c r="I12" s="1372"/>
      <c r="J12" s="1372"/>
      <c r="K12" s="1372"/>
      <c r="L12" s="1372"/>
      <c r="M12" s="1372"/>
      <c r="N12" s="1372"/>
      <c r="O12" s="506" t="s">
        <v>256</v>
      </c>
      <c r="P12" s="1355">
        <f>'Input Data'!D30</f>
        <v>0</v>
      </c>
      <c r="Q12" s="1317"/>
      <c r="R12" s="129"/>
    </row>
    <row r="13" spans="1:18" ht="20.100000000000001" customHeight="1" x14ac:dyDescent="0.2">
      <c r="A13" s="30" t="s">
        <v>162</v>
      </c>
      <c r="B13" s="1334">
        <f>'Input Data'!D13</f>
        <v>0</v>
      </c>
      <c r="C13" s="1305"/>
      <c r="D13" s="1305"/>
      <c r="E13" s="1305"/>
      <c r="F13" s="1305"/>
      <c r="G13" s="1305"/>
      <c r="H13" s="1305"/>
      <c r="I13" s="1305"/>
      <c r="J13" s="1305"/>
      <c r="K13" s="1305"/>
      <c r="L13" s="1305"/>
      <c r="M13" s="1305"/>
      <c r="N13" s="1305"/>
      <c r="O13" s="1305"/>
      <c r="P13" s="386" t="s">
        <v>374</v>
      </c>
      <c r="Q13" s="616">
        <f>'Input Data'!H13</f>
        <v>0</v>
      </c>
      <c r="R13" s="129"/>
    </row>
    <row r="14" spans="1:18" ht="20.100000000000001" customHeight="1" x14ac:dyDescent="0.2">
      <c r="A14" s="30" t="s">
        <v>375</v>
      </c>
      <c r="B14" s="1334">
        <f>'Input Data'!D14</f>
        <v>0</v>
      </c>
      <c r="C14" s="1305"/>
      <c r="D14" s="1305"/>
      <c r="E14" s="1305"/>
      <c r="F14" s="1305"/>
      <c r="G14" s="1305"/>
      <c r="H14" s="1305"/>
      <c r="I14" s="1305"/>
      <c r="J14" s="1305"/>
      <c r="K14" s="1305"/>
      <c r="L14" s="1305"/>
      <c r="M14" s="1305"/>
      <c r="N14" s="1305"/>
      <c r="O14" s="1382"/>
      <c r="P14" s="387" t="s">
        <v>374</v>
      </c>
      <c r="Q14" s="617">
        <f>'Input Data'!H14</f>
        <v>0</v>
      </c>
      <c r="R14" s="129"/>
    </row>
    <row r="15" spans="1:18" ht="20.100000000000001" customHeight="1" x14ac:dyDescent="0.2">
      <c r="A15" s="414"/>
      <c r="B15" s="400" t="s">
        <v>115</v>
      </c>
      <c r="C15" s="1337">
        <f>IF('Input Data'!E17="None","NOT REGITERED FOR VAT",'Input Data'!E17)</f>
        <v>0</v>
      </c>
      <c r="D15" s="1338"/>
      <c r="E15" s="1338"/>
      <c r="F15" s="1338"/>
      <c r="G15" s="1338"/>
      <c r="H15" s="1338"/>
      <c r="I15" s="1338"/>
      <c r="J15" s="1338"/>
      <c r="K15" s="29"/>
      <c r="L15" s="22"/>
      <c r="M15" s="29"/>
      <c r="N15" s="482" t="s">
        <v>248</v>
      </c>
      <c r="O15" s="1334">
        <f>'Input Data'!D18</f>
        <v>0</v>
      </c>
      <c r="P15" s="1305"/>
      <c r="Q15" s="1335"/>
      <c r="R15" s="129"/>
    </row>
    <row r="16" spans="1:18" ht="20.100000000000001" customHeight="1" x14ac:dyDescent="0.2">
      <c r="A16" s="30" t="s">
        <v>29</v>
      </c>
      <c r="B16" s="618">
        <f>'Input Data'!D19</f>
        <v>0</v>
      </c>
      <c r="C16" s="411"/>
      <c r="D16" s="411"/>
      <c r="E16" s="411"/>
      <c r="F16" s="410"/>
      <c r="G16" s="410"/>
      <c r="H16" s="410"/>
      <c r="I16" s="410"/>
      <c r="J16" s="22"/>
      <c r="K16" s="29"/>
      <c r="L16" s="1381"/>
      <c r="M16" s="1322"/>
      <c r="N16" s="409"/>
      <c r="O16" s="22"/>
      <c r="P16" s="386" t="s">
        <v>269</v>
      </c>
      <c r="Q16" s="489">
        <f>'Input Data'!F15</f>
        <v>0</v>
      </c>
      <c r="R16" s="129"/>
    </row>
    <row r="17" spans="1:18" ht="20.100000000000001" customHeight="1" x14ac:dyDescent="0.2">
      <c r="A17" s="385" t="s">
        <v>331</v>
      </c>
      <c r="B17" s="1334">
        <f>'Input Data'!D29</f>
        <v>0</v>
      </c>
      <c r="C17" s="1305"/>
      <c r="D17" s="1305"/>
      <c r="E17" s="1305"/>
      <c r="F17" s="1305"/>
      <c r="G17" s="1305"/>
      <c r="H17" s="1305"/>
      <c r="I17" s="1305"/>
      <c r="J17" s="29"/>
      <c r="K17" s="386"/>
      <c r="L17" s="29"/>
      <c r="M17" s="386" t="s">
        <v>264</v>
      </c>
      <c r="N17" s="1334">
        <f>'Input Data'!D15</f>
        <v>0</v>
      </c>
      <c r="O17" s="1305"/>
      <c r="P17" s="386" t="s">
        <v>265</v>
      </c>
      <c r="Q17" s="489">
        <f>'Input Data'!H15</f>
        <v>0</v>
      </c>
      <c r="R17" s="129"/>
    </row>
    <row r="18" spans="1:18" ht="20.100000000000001" customHeight="1" thickBot="1" x14ac:dyDescent="0.25">
      <c r="A18" s="398" t="s">
        <v>30</v>
      </c>
      <c r="B18" s="31"/>
      <c r="C18" s="1344" t="str">
        <f>'Input Data'!D25</f>
        <v>USE TIME BASED FEES</v>
      </c>
      <c r="D18" s="1345"/>
      <c r="E18" s="1345"/>
      <c r="F18" s="1345"/>
      <c r="G18" s="1345"/>
      <c r="H18" s="1345"/>
      <c r="I18" s="1345"/>
      <c r="J18" s="31"/>
      <c r="K18" s="384"/>
      <c r="L18" s="384"/>
      <c r="M18" s="468"/>
      <c r="N18" s="468" t="s">
        <v>268</v>
      </c>
      <c r="O18" s="1416">
        <f>'Input Data'!D16</f>
        <v>0</v>
      </c>
      <c r="P18" s="1417"/>
      <c r="Q18" s="1418"/>
      <c r="R18" s="129"/>
    </row>
    <row r="19" spans="1:18" ht="24.75" customHeight="1" thickTop="1" thickBot="1" x14ac:dyDescent="0.25">
      <c r="A19" s="390" t="str">
        <f>IF('Input Data'!$F$31&gt;4,"STAGE:","STAGE COMPLETED:")</f>
        <v>STAGE COMPLETED:</v>
      </c>
      <c r="B19" s="1414" t="str">
        <f>'Input Data'!D31</f>
        <v>INCEPTION</v>
      </c>
      <c r="C19" s="1415"/>
      <c r="D19" s="1415"/>
      <c r="E19" s="1415"/>
      <c r="F19" s="1415"/>
      <c r="G19" s="1415"/>
      <c r="H19" s="1415"/>
      <c r="I19" s="1415"/>
      <c r="J19" s="1415"/>
      <c r="K19" s="1415"/>
      <c r="L19" s="1346" t="str">
        <f>IF('Input Data'!$E$38=1,"ESTIMATED TOTAL VALUE OF ENGINEERING WORK","TOTAL VALUE OF ENGINEERING WORK")</f>
        <v>ESTIMATED TOTAL VALUE OF ENGINEERING WORK</v>
      </c>
      <c r="M19" s="1347"/>
      <c r="N19" s="1347"/>
      <c r="O19" s="1347"/>
      <c r="P19" s="1348"/>
      <c r="Q19" s="1100">
        <f>IF('Input Data'!E38&lt;2,0.8*'Input Data'!H48,'Input Data'!H48)</f>
        <v>0</v>
      </c>
      <c r="R19" s="129"/>
    </row>
    <row r="20" spans="1:18" ht="23.25" customHeight="1" thickTop="1" thickBot="1" x14ac:dyDescent="0.25">
      <c r="A20" s="1340" t="s">
        <v>231</v>
      </c>
      <c r="B20" s="1341"/>
      <c r="C20" s="1341"/>
      <c r="D20" s="1341"/>
      <c r="E20" s="1341"/>
      <c r="F20" s="1341"/>
      <c r="G20" s="1341"/>
      <c r="H20" s="1341"/>
      <c r="I20" s="1341"/>
      <c r="J20" s="1342">
        <f>IF('Input Data'!E38&lt;2,0.8*'Input Data'!H50,'Input Data'!H50)</f>
        <v>0</v>
      </c>
      <c r="K20" s="1343"/>
      <c r="L20" s="1351" t="str">
        <f>IF('Input Data'!$E$38=1,"ESTIMATED TOTAL VALUE OF PROJECT","TOTAL VALUE OF PROJECT")</f>
        <v>ESTIMATED TOTAL VALUE OF PROJECT</v>
      </c>
      <c r="M20" s="1352"/>
      <c r="N20" s="1352"/>
      <c r="O20" s="1352"/>
      <c r="P20" s="1352"/>
      <c r="Q20" s="1101">
        <f>IF('Input Data'!E38&lt;2,0.8*'Input Data'!H51,'Input Data'!H51)</f>
        <v>0</v>
      </c>
      <c r="R20" s="129"/>
    </row>
    <row r="21" spans="1:18" ht="22.5" customHeight="1" thickTop="1" x14ac:dyDescent="0.2">
      <c r="A21" s="33" t="s">
        <v>317</v>
      </c>
      <c r="B21" s="34"/>
      <c r="C21" s="34"/>
      <c r="D21" s="34"/>
      <c r="E21" s="34"/>
      <c r="F21" s="34"/>
      <c r="G21" s="34"/>
      <c r="H21" s="34"/>
      <c r="I21" s="34"/>
      <c r="J21" s="34"/>
      <c r="K21" s="34"/>
      <c r="L21" s="34"/>
      <c r="M21" s="34"/>
      <c r="N21" s="34"/>
      <c r="O21" s="34"/>
      <c r="P21" s="34"/>
      <c r="Q21" s="35"/>
      <c r="R21" s="129"/>
    </row>
    <row r="22" spans="1:18" ht="12" customHeight="1" x14ac:dyDescent="0.2">
      <c r="A22" s="44"/>
      <c r="B22" s="19"/>
      <c r="C22" s="20"/>
      <c r="D22" s="45"/>
      <c r="E22" s="45"/>
      <c r="F22" s="45"/>
      <c r="G22" s="45"/>
      <c r="H22" s="45"/>
      <c r="I22" s="20"/>
      <c r="J22" s="20"/>
      <c r="K22" s="46"/>
      <c r="L22" s="25"/>
      <c r="M22" s="48"/>
      <c r="N22" s="40"/>
      <c r="O22" s="25"/>
      <c r="P22" s="25"/>
      <c r="Q22" s="475"/>
      <c r="R22" s="129"/>
    </row>
    <row r="23" spans="1:18" x14ac:dyDescent="0.2">
      <c r="A23" s="1321" t="s">
        <v>176</v>
      </c>
      <c r="B23" s="1322"/>
      <c r="C23" s="1322"/>
      <c r="D23" s="1322"/>
      <c r="E23" s="1322"/>
      <c r="F23" s="1322"/>
      <c r="G23" s="1322"/>
      <c r="H23" s="1322"/>
      <c r="I23" s="1322"/>
      <c r="J23" s="1322"/>
      <c r="K23" s="1322"/>
      <c r="L23" s="1322"/>
      <c r="M23" s="1322"/>
      <c r="N23" s="29"/>
      <c r="O23" s="29"/>
      <c r="P23" s="29"/>
      <c r="Q23" s="808">
        <f>Q120</f>
        <v>0</v>
      </c>
      <c r="R23" s="129"/>
    </row>
    <row r="24" spans="1:18" ht="8.25" customHeight="1" x14ac:dyDescent="0.2">
      <c r="A24" s="63"/>
      <c r="B24" s="64"/>
      <c r="C24" s="19"/>
      <c r="D24" s="19"/>
      <c r="E24" s="19"/>
      <c r="F24" s="19"/>
      <c r="G24" s="29"/>
      <c r="H24" s="29"/>
      <c r="I24" s="29"/>
      <c r="J24" s="29"/>
      <c r="K24" s="29"/>
      <c r="L24" s="29"/>
      <c r="M24" s="29"/>
      <c r="N24" s="29"/>
      <c r="O24" s="29"/>
      <c r="P24" s="29"/>
      <c r="Q24" s="808"/>
      <c r="R24" s="129"/>
    </row>
    <row r="25" spans="1:18" ht="16.5" customHeight="1" x14ac:dyDescent="0.2">
      <c r="A25" s="1339" t="s">
        <v>132</v>
      </c>
      <c r="B25" s="1322"/>
      <c r="C25" s="1322"/>
      <c r="D25" s="1322"/>
      <c r="E25" s="1322"/>
      <c r="F25" s="1322"/>
      <c r="G25" s="1322"/>
      <c r="H25" s="1322"/>
      <c r="I25" s="1322"/>
      <c r="J25" s="1322"/>
      <c r="K25" s="1322"/>
      <c r="L25" s="1322"/>
      <c r="M25" s="1322"/>
      <c r="N25" s="1322"/>
      <c r="O25" s="29"/>
      <c r="P25" s="29"/>
      <c r="Q25" s="808">
        <f>Q123</f>
        <v>0</v>
      </c>
      <c r="R25" s="129"/>
    </row>
    <row r="26" spans="1:18" ht="12.75" customHeight="1" x14ac:dyDescent="0.2">
      <c r="A26" s="465"/>
      <c r="B26" s="413"/>
      <c r="C26" s="413"/>
      <c r="D26" s="413"/>
      <c r="E26" s="4"/>
      <c r="F26" s="4"/>
      <c r="G26" s="29"/>
      <c r="H26" s="29"/>
      <c r="I26" s="29"/>
      <c r="J26" s="29"/>
      <c r="K26" s="29"/>
      <c r="L26" s="29"/>
      <c r="M26" s="29"/>
      <c r="N26" s="29"/>
      <c r="O26" s="29"/>
      <c r="P26" s="29"/>
      <c r="Q26" s="808"/>
      <c r="R26" s="129"/>
    </row>
    <row r="27" spans="1:18" ht="15.75" customHeight="1" x14ac:dyDescent="0.2">
      <c r="A27" s="1353" t="s">
        <v>177</v>
      </c>
      <c r="B27" s="1322"/>
      <c r="C27" s="1322"/>
      <c r="D27" s="1322"/>
      <c r="E27" s="1322"/>
      <c r="F27" s="1322"/>
      <c r="G27" s="1322"/>
      <c r="H27" s="1322"/>
      <c r="I27" s="1322"/>
      <c r="J27" s="1322"/>
      <c r="K27" s="1322"/>
      <c r="L27" s="1322"/>
      <c r="M27" s="1322"/>
      <c r="N27" s="1322"/>
      <c r="O27" s="29"/>
      <c r="P27" s="29"/>
      <c r="Q27" s="808">
        <f>Q126</f>
        <v>0</v>
      </c>
      <c r="R27" s="129"/>
    </row>
    <row r="28" spans="1:18" ht="12.75" customHeight="1" x14ac:dyDescent="0.2">
      <c r="A28" s="414"/>
      <c r="B28" s="29"/>
      <c r="C28" s="29"/>
      <c r="D28" s="29"/>
      <c r="E28" s="19"/>
      <c r="F28" s="19"/>
      <c r="G28" s="29"/>
      <c r="H28" s="29"/>
      <c r="I28" s="29"/>
      <c r="J28" s="29"/>
      <c r="K28" s="29"/>
      <c r="L28" s="29"/>
      <c r="M28" s="29"/>
      <c r="N28" s="29"/>
      <c r="O28" s="29"/>
      <c r="P28" s="29"/>
      <c r="Q28" s="808"/>
      <c r="R28" s="129"/>
    </row>
    <row r="29" spans="1:18" ht="18.75" customHeight="1" x14ac:dyDescent="0.2">
      <c r="A29" s="1353" t="s">
        <v>178</v>
      </c>
      <c r="B29" s="1322"/>
      <c r="C29" s="1322"/>
      <c r="D29" s="1322"/>
      <c r="E29" s="1322"/>
      <c r="F29" s="1322"/>
      <c r="G29" s="1322"/>
      <c r="H29" s="1322"/>
      <c r="I29" s="1322"/>
      <c r="J29" s="1322"/>
      <c r="K29" s="1322"/>
      <c r="L29" s="1322"/>
      <c r="M29" s="1322"/>
      <c r="N29" s="1322"/>
      <c r="O29" s="29"/>
      <c r="P29" s="29"/>
      <c r="Q29" s="808">
        <f>Q129</f>
        <v>0</v>
      </c>
      <c r="R29" s="129"/>
    </row>
    <row r="30" spans="1:18" ht="12" customHeight="1" x14ac:dyDescent="0.2">
      <c r="A30" s="414"/>
      <c r="B30" s="29"/>
      <c r="C30" s="29"/>
      <c r="D30" s="29"/>
      <c r="E30" s="29"/>
      <c r="F30" s="29"/>
      <c r="G30" s="29"/>
      <c r="H30" s="29"/>
      <c r="I30" s="29"/>
      <c r="J30" s="29"/>
      <c r="K30" s="29"/>
      <c r="L30" s="29"/>
      <c r="M30" s="29"/>
      <c r="N30" s="29"/>
      <c r="O30" s="29"/>
      <c r="P30" s="29"/>
      <c r="Q30" s="808"/>
      <c r="R30" s="129"/>
    </row>
    <row r="31" spans="1:18" ht="22.5" customHeight="1" x14ac:dyDescent="0.2">
      <c r="A31" s="1339" t="s">
        <v>147</v>
      </c>
      <c r="B31" s="1322"/>
      <c r="C31" s="1322"/>
      <c r="D31" s="1322"/>
      <c r="E31" s="1322"/>
      <c r="F31" s="1322"/>
      <c r="G31" s="1322"/>
      <c r="H31" s="1322"/>
      <c r="I31" s="1322"/>
      <c r="J31" s="1322"/>
      <c r="K31" s="1322"/>
      <c r="L31" s="1322"/>
      <c r="M31" s="1322"/>
      <c r="N31" s="1322"/>
      <c r="O31" s="29"/>
      <c r="P31" s="29"/>
      <c r="Q31" s="808">
        <f>Q132</f>
        <v>0</v>
      </c>
      <c r="R31" s="129"/>
    </row>
    <row r="32" spans="1:18" ht="8.25" customHeight="1" x14ac:dyDescent="0.2">
      <c r="A32" s="6"/>
      <c r="B32" s="9"/>
      <c r="C32" s="9"/>
      <c r="D32" s="9"/>
      <c r="E32" s="415"/>
      <c r="F32" s="415"/>
      <c r="G32" s="29"/>
      <c r="H32" s="29"/>
      <c r="I32" s="29"/>
      <c r="J32" s="29"/>
      <c r="K32" s="29"/>
      <c r="L32" s="29"/>
      <c r="M32" s="29"/>
      <c r="N32" s="29"/>
      <c r="O32" s="29"/>
      <c r="P32" s="29"/>
      <c r="Q32" s="808"/>
      <c r="R32" s="129"/>
    </row>
    <row r="33" spans="1:18" ht="16.5" customHeight="1" x14ac:dyDescent="0.2">
      <c r="A33" s="1339" t="s">
        <v>148</v>
      </c>
      <c r="B33" s="1322"/>
      <c r="C33" s="1322"/>
      <c r="D33" s="1322"/>
      <c r="E33" s="1322"/>
      <c r="F33" s="1322"/>
      <c r="G33" s="1322"/>
      <c r="H33" s="1322"/>
      <c r="I33" s="1322"/>
      <c r="J33" s="1322"/>
      <c r="K33" s="1322"/>
      <c r="L33" s="1322"/>
      <c r="M33" s="1322"/>
      <c r="N33" s="1322"/>
      <c r="O33" s="29"/>
      <c r="P33" s="29"/>
      <c r="Q33" s="808">
        <f>Q135</f>
        <v>0</v>
      </c>
      <c r="R33" s="129"/>
    </row>
    <row r="34" spans="1:18" ht="9" customHeight="1" x14ac:dyDescent="0.2">
      <c r="A34" s="6"/>
      <c r="B34" s="9"/>
      <c r="C34" s="9"/>
      <c r="D34" s="9"/>
      <c r="E34" s="415"/>
      <c r="F34" s="415"/>
      <c r="G34" s="29"/>
      <c r="H34" s="29"/>
      <c r="I34" s="29"/>
      <c r="J34" s="29"/>
      <c r="K34" s="29"/>
      <c r="L34" s="29"/>
      <c r="M34" s="29"/>
      <c r="N34" s="29"/>
      <c r="O34" s="29"/>
      <c r="P34" s="29"/>
      <c r="Q34" s="808"/>
      <c r="R34" s="129"/>
    </row>
    <row r="35" spans="1:18" ht="18.75" customHeight="1" x14ac:dyDescent="0.2">
      <c r="A35" s="1339" t="s">
        <v>130</v>
      </c>
      <c r="B35" s="1322"/>
      <c r="C35" s="1322"/>
      <c r="D35" s="1322"/>
      <c r="E35" s="1322"/>
      <c r="F35" s="1322"/>
      <c r="G35" s="1322"/>
      <c r="H35" s="1322"/>
      <c r="I35" s="1322"/>
      <c r="J35" s="1322"/>
      <c r="K35" s="1322"/>
      <c r="L35" s="1322"/>
      <c r="M35" s="1322"/>
      <c r="N35" s="1322"/>
      <c r="O35" s="29"/>
      <c r="P35" s="29"/>
      <c r="Q35" s="808">
        <f>Q138</f>
        <v>0</v>
      </c>
      <c r="R35" s="129"/>
    </row>
    <row r="36" spans="1:18" ht="8.25" customHeight="1" x14ac:dyDescent="0.2">
      <c r="A36" s="465"/>
      <c r="B36" s="413"/>
      <c r="C36" s="413"/>
      <c r="D36" s="413"/>
      <c r="E36" s="29"/>
      <c r="F36" s="29"/>
      <c r="G36" s="29"/>
      <c r="H36" s="29"/>
      <c r="I36" s="29"/>
      <c r="J36" s="29"/>
      <c r="K36" s="29"/>
      <c r="L36" s="29"/>
      <c r="M36" s="29"/>
      <c r="N36" s="29"/>
      <c r="O36" s="29"/>
      <c r="P36" s="29"/>
      <c r="Q36" s="808"/>
      <c r="R36" s="129"/>
    </row>
    <row r="37" spans="1:18" ht="15.95" customHeight="1" thickBot="1" x14ac:dyDescent="0.25">
      <c r="A37" s="1339" t="s">
        <v>149</v>
      </c>
      <c r="B37" s="1322"/>
      <c r="C37" s="1322"/>
      <c r="D37" s="1322"/>
      <c r="E37" s="1322"/>
      <c r="F37" s="1322"/>
      <c r="G37" s="1322"/>
      <c r="H37" s="1322"/>
      <c r="I37" s="1322"/>
      <c r="J37" s="1322"/>
      <c r="K37" s="1322"/>
      <c r="L37" s="1322"/>
      <c r="M37" s="1322"/>
      <c r="N37" s="1322"/>
      <c r="O37" s="29"/>
      <c r="P37" s="29"/>
      <c r="Q37" s="809">
        <f>Q141</f>
        <v>0</v>
      </c>
      <c r="R37" s="129"/>
    </row>
    <row r="38" spans="1:18" ht="24" customHeight="1" thickBot="1" x14ac:dyDescent="0.25">
      <c r="A38" s="476"/>
      <c r="B38" s="477"/>
      <c r="C38" s="477"/>
      <c r="D38" s="477"/>
      <c r="E38" s="32"/>
      <c r="F38" s="32"/>
      <c r="G38" s="32"/>
      <c r="H38" s="32"/>
      <c r="I38" s="32"/>
      <c r="J38" s="32"/>
      <c r="K38" s="32"/>
      <c r="L38" s="32"/>
      <c r="M38" s="32"/>
      <c r="N38" s="32"/>
      <c r="O38" s="473" t="s">
        <v>167</v>
      </c>
      <c r="P38" s="32"/>
      <c r="Q38" s="810">
        <f>Q143</f>
        <v>0</v>
      </c>
      <c r="R38" s="129"/>
    </row>
    <row r="39" spans="1:18" ht="26.25" customHeight="1" thickTop="1" x14ac:dyDescent="0.2">
      <c r="A39" s="1336" t="s">
        <v>133</v>
      </c>
      <c r="B39" s="1322"/>
      <c r="C39" s="1322"/>
      <c r="D39" s="1322"/>
      <c r="E39" s="1322"/>
      <c r="F39" s="1322"/>
      <c r="G39" s="1322"/>
      <c r="H39" s="1322"/>
      <c r="I39" s="1322"/>
      <c r="J39" s="1322"/>
      <c r="K39" s="1322"/>
      <c r="L39" s="1322"/>
      <c r="M39" s="1322"/>
      <c r="N39" s="29"/>
      <c r="O39" s="29"/>
      <c r="P39" s="29"/>
      <c r="Q39" s="808"/>
      <c r="R39" s="129"/>
    </row>
    <row r="40" spans="1:18" ht="15.95" customHeight="1" x14ac:dyDescent="0.2">
      <c r="A40" s="44" t="s">
        <v>150</v>
      </c>
      <c r="B40" s="19"/>
      <c r="C40" s="49"/>
      <c r="D40" s="19"/>
      <c r="E40" s="19"/>
      <c r="F40" s="19"/>
      <c r="G40" s="19"/>
      <c r="H40" s="19"/>
      <c r="I40" s="29"/>
      <c r="J40" s="36"/>
      <c r="K40" s="29"/>
      <c r="L40" s="29"/>
      <c r="M40" s="29"/>
      <c r="N40" s="29"/>
      <c r="O40" s="29"/>
      <c r="P40" s="29"/>
      <c r="Q40" s="808">
        <f>Q146</f>
        <v>0</v>
      </c>
      <c r="R40" s="129"/>
    </row>
    <row r="41" spans="1:18" ht="8.25" customHeight="1" thickBot="1" x14ac:dyDescent="0.25">
      <c r="A41" s="123"/>
      <c r="B41" s="12"/>
      <c r="C41" s="85"/>
      <c r="D41" s="85"/>
      <c r="E41" s="85"/>
      <c r="F41" s="85"/>
      <c r="G41" s="85"/>
      <c r="H41" s="85"/>
      <c r="I41" s="133"/>
      <c r="J41" s="84"/>
      <c r="K41" s="492"/>
      <c r="L41" s="492"/>
      <c r="M41" s="492"/>
      <c r="N41" s="492"/>
      <c r="O41" s="492"/>
      <c r="P41" s="492"/>
      <c r="Q41" s="809"/>
      <c r="R41" s="129"/>
    </row>
    <row r="42" spans="1:18" ht="9" customHeight="1" x14ac:dyDescent="0.2">
      <c r="A42" s="63"/>
      <c r="B42" s="64"/>
      <c r="C42" s="19"/>
      <c r="D42" s="19"/>
      <c r="E42" s="19"/>
      <c r="F42" s="19"/>
      <c r="G42" s="19"/>
      <c r="H42" s="19"/>
      <c r="I42" s="65"/>
      <c r="J42" s="50"/>
      <c r="K42" s="29"/>
      <c r="L42" s="29"/>
      <c r="M42" s="29"/>
      <c r="N42" s="29"/>
      <c r="O42" s="29"/>
      <c r="P42" s="29"/>
      <c r="Q42" s="808"/>
      <c r="R42" s="129"/>
    </row>
    <row r="43" spans="1:18" ht="15.95" customHeight="1" x14ac:dyDescent="0.2">
      <c r="A43" s="16" t="s">
        <v>201</v>
      </c>
      <c r="B43" s="64"/>
      <c r="C43" s="19"/>
      <c r="D43" s="19"/>
      <c r="E43" s="19"/>
      <c r="F43" s="19"/>
      <c r="G43" s="19"/>
      <c r="H43" s="19"/>
      <c r="I43" s="19"/>
      <c r="J43" s="19"/>
      <c r="K43" s="29"/>
      <c r="L43" s="29"/>
      <c r="M43" s="29"/>
      <c r="N43" s="29"/>
      <c r="O43" s="29"/>
      <c r="P43" s="29"/>
      <c r="Q43" s="808">
        <f>Q150</f>
        <v>0</v>
      </c>
      <c r="R43" s="129"/>
    </row>
    <row r="44" spans="1:18" ht="8.25" customHeight="1" thickBot="1" x14ac:dyDescent="0.25">
      <c r="A44" s="11"/>
      <c r="B44" s="12"/>
      <c r="C44" s="133"/>
      <c r="D44" s="134"/>
      <c r="E44" s="134"/>
      <c r="F44" s="134"/>
      <c r="G44" s="134"/>
      <c r="H44" s="134"/>
      <c r="I44" s="164"/>
      <c r="J44" s="165"/>
      <c r="K44" s="492"/>
      <c r="L44" s="492"/>
      <c r="M44" s="492"/>
      <c r="N44" s="492"/>
      <c r="O44" s="492"/>
      <c r="P44" s="492"/>
      <c r="Q44" s="809"/>
      <c r="R44" s="129"/>
    </row>
    <row r="45" spans="1:18" ht="8.25" customHeight="1" x14ac:dyDescent="0.2">
      <c r="A45" s="17"/>
      <c r="B45" s="64"/>
      <c r="C45" s="65"/>
      <c r="D45" s="36"/>
      <c r="E45" s="36"/>
      <c r="F45" s="36"/>
      <c r="G45" s="36"/>
      <c r="H45" s="36"/>
      <c r="I45" s="37"/>
      <c r="J45" s="38"/>
      <c r="K45" s="29"/>
      <c r="L45" s="29"/>
      <c r="M45" s="29"/>
      <c r="N45" s="29"/>
      <c r="O45" s="29"/>
      <c r="P45" s="29"/>
      <c r="Q45" s="808"/>
      <c r="R45" s="129"/>
    </row>
    <row r="46" spans="1:18" ht="16.5" customHeight="1" x14ac:dyDescent="0.2">
      <c r="A46" s="487" t="s">
        <v>332</v>
      </c>
      <c r="B46" s="64"/>
      <c r="C46" s="65"/>
      <c r="D46" s="36"/>
      <c r="E46" s="36"/>
      <c r="F46" s="36"/>
      <c r="G46" s="36"/>
      <c r="H46" s="36"/>
      <c r="I46" s="37"/>
      <c r="J46" s="38"/>
      <c r="K46" s="29"/>
      <c r="L46" s="29"/>
      <c r="M46" s="29"/>
      <c r="N46" s="29"/>
      <c r="O46" s="29"/>
      <c r="P46" s="29"/>
      <c r="Q46" s="808">
        <f>Q153</f>
        <v>0</v>
      </c>
      <c r="R46" s="129"/>
    </row>
    <row r="47" spans="1:18" ht="9" customHeight="1" thickBot="1" x14ac:dyDescent="0.25">
      <c r="A47" s="1349"/>
      <c r="B47" s="1350"/>
      <c r="C47" s="1350"/>
      <c r="D47" s="1350"/>
      <c r="E47" s="1350"/>
      <c r="F47" s="1350"/>
      <c r="G47" s="1350"/>
      <c r="H47" s="1350"/>
      <c r="I47" s="1350"/>
      <c r="J47" s="1350"/>
      <c r="K47" s="1350"/>
      <c r="L47" s="1350"/>
      <c r="M47" s="1350"/>
      <c r="N47" s="1350"/>
      <c r="O47" s="1350"/>
      <c r="P47" s="1350"/>
      <c r="Q47" s="811"/>
      <c r="R47" s="129"/>
    </row>
    <row r="48" spans="1:18" ht="15.95" customHeight="1" thickTop="1" thickBot="1" x14ac:dyDescent="0.25">
      <c r="A48" s="454"/>
      <c r="B48" s="455"/>
      <c r="C48" s="456"/>
      <c r="D48" s="455"/>
      <c r="E48" s="455"/>
      <c r="F48" s="455"/>
      <c r="G48" s="457"/>
      <c r="H48" s="455"/>
      <c r="I48" s="455"/>
      <c r="J48" s="455"/>
      <c r="K48" s="458"/>
      <c r="L48" s="458"/>
      <c r="M48" s="456"/>
      <c r="N48" s="456"/>
      <c r="O48" s="456"/>
      <c r="P48" s="453" t="s">
        <v>319</v>
      </c>
      <c r="Q48" s="810">
        <f>Q155</f>
        <v>0</v>
      </c>
      <c r="R48" s="129"/>
    </row>
    <row r="49" spans="1:18" ht="7.5" customHeight="1" thickTop="1" x14ac:dyDescent="0.2">
      <c r="A49" s="414"/>
      <c r="B49" s="29"/>
      <c r="C49" s="29"/>
      <c r="D49" s="29"/>
      <c r="E49" s="29"/>
      <c r="F49" s="29"/>
      <c r="G49" s="29"/>
      <c r="H49" s="29"/>
      <c r="I49" s="29"/>
      <c r="J49" s="29"/>
      <c r="K49" s="29"/>
      <c r="L49" s="29"/>
      <c r="M49" s="29"/>
      <c r="N49" s="29"/>
      <c r="O49" s="29"/>
      <c r="P49" s="29"/>
      <c r="Q49" s="808"/>
      <c r="R49" s="129"/>
    </row>
    <row r="50" spans="1:18" ht="15.95" customHeight="1" x14ac:dyDescent="0.2">
      <c r="A50" s="82" t="s">
        <v>318</v>
      </c>
      <c r="B50" s="64"/>
      <c r="C50" s="64"/>
      <c r="D50" s="29"/>
      <c r="E50" s="29"/>
      <c r="F50" s="29"/>
      <c r="G50" s="29"/>
      <c r="H50" s="29"/>
      <c r="I50" s="29"/>
      <c r="J50" s="29"/>
      <c r="K50" s="29"/>
      <c r="L50" s="29"/>
      <c r="M50" s="29"/>
      <c r="N50" s="29"/>
      <c r="O50" s="29"/>
      <c r="P50" s="29"/>
      <c r="Q50" s="808"/>
      <c r="R50" s="129"/>
    </row>
    <row r="51" spans="1:18" ht="9" customHeight="1" x14ac:dyDescent="0.2">
      <c r="A51" s="82"/>
      <c r="B51" s="64"/>
      <c r="C51" s="64"/>
      <c r="D51" s="29"/>
      <c r="E51" s="29"/>
      <c r="F51" s="29"/>
      <c r="G51" s="29"/>
      <c r="H51" s="29"/>
      <c r="I51" s="29"/>
      <c r="J51" s="29"/>
      <c r="K51" s="29"/>
      <c r="L51" s="29"/>
      <c r="M51" s="29"/>
      <c r="N51" s="29"/>
      <c r="O51" s="29"/>
      <c r="P51" s="29"/>
      <c r="Q51" s="808"/>
      <c r="R51" s="129"/>
    </row>
    <row r="52" spans="1:18" ht="15.95" customHeight="1" x14ac:dyDescent="0.2">
      <c r="A52" s="1321" t="s">
        <v>176</v>
      </c>
      <c r="B52" s="1322"/>
      <c r="C52" s="1322"/>
      <c r="D52" s="1322"/>
      <c r="E52" s="1322"/>
      <c r="F52" s="1322"/>
      <c r="G52" s="1322"/>
      <c r="H52" s="1322"/>
      <c r="I52" s="1322"/>
      <c r="J52" s="1322"/>
      <c r="K52" s="1322"/>
      <c r="L52" s="1322"/>
      <c r="M52" s="1322"/>
      <c r="N52" s="1322"/>
      <c r="O52" s="29"/>
      <c r="P52" s="29"/>
      <c r="Q52" s="808">
        <f>Q157</f>
        <v>0</v>
      </c>
      <c r="R52" s="129"/>
    </row>
    <row r="53" spans="1:18" ht="9" customHeight="1" x14ac:dyDescent="0.2">
      <c r="A53" s="414"/>
      <c r="B53" s="29"/>
      <c r="C53" s="29"/>
      <c r="D53" s="29"/>
      <c r="E53" s="29"/>
      <c r="F53" s="29"/>
      <c r="G53" s="29"/>
      <c r="H53" s="29"/>
      <c r="I53" s="29"/>
      <c r="J53" s="29"/>
      <c r="K53" s="29"/>
      <c r="L53" s="29"/>
      <c r="M53" s="29"/>
      <c r="N53" s="29"/>
      <c r="O53" s="29"/>
      <c r="P53" s="29"/>
      <c r="Q53" s="808"/>
      <c r="R53" s="129"/>
    </row>
    <row r="54" spans="1:18" ht="15.95" customHeight="1" thickBot="1" x14ac:dyDescent="0.25">
      <c r="A54" s="1353" t="s">
        <v>126</v>
      </c>
      <c r="B54" s="1322"/>
      <c r="C54" s="1322"/>
      <c r="D54" s="1322"/>
      <c r="E54" s="1322"/>
      <c r="F54" s="1322"/>
      <c r="G54" s="1322"/>
      <c r="H54" s="1322"/>
      <c r="I54" s="1322"/>
      <c r="J54" s="1322"/>
      <c r="K54" s="1322"/>
      <c r="L54" s="1322"/>
      <c r="M54" s="1322"/>
      <c r="N54" s="1322"/>
      <c r="O54" s="29"/>
      <c r="P54" s="29"/>
      <c r="Q54" s="809">
        <f>Q160</f>
        <v>0</v>
      </c>
      <c r="R54" s="129"/>
    </row>
    <row r="55" spans="1:18" ht="15.95" customHeight="1" thickBot="1" x14ac:dyDescent="0.25">
      <c r="A55" s="418"/>
      <c r="B55" s="419"/>
      <c r="C55" s="419"/>
      <c r="D55" s="492"/>
      <c r="E55" s="492"/>
      <c r="F55" s="492"/>
      <c r="G55" s="492"/>
      <c r="H55" s="492"/>
      <c r="I55" s="492"/>
      <c r="J55" s="492"/>
      <c r="K55" s="492"/>
      <c r="L55" s="492"/>
      <c r="M55" s="492"/>
      <c r="N55" s="492"/>
      <c r="O55" s="443" t="s">
        <v>167</v>
      </c>
      <c r="P55" s="492"/>
      <c r="Q55" s="812">
        <f>Q162</f>
        <v>0</v>
      </c>
      <c r="R55" s="129"/>
    </row>
    <row r="56" spans="1:18" ht="15.95" customHeight="1" x14ac:dyDescent="0.2">
      <c r="A56" s="469" t="s">
        <v>133</v>
      </c>
      <c r="B56" s="470"/>
      <c r="C56" s="470"/>
      <c r="D56" s="29"/>
      <c r="E56" s="29"/>
      <c r="F56" s="29"/>
      <c r="G56" s="29"/>
      <c r="H56" s="29"/>
      <c r="I56" s="29"/>
      <c r="J56" s="29"/>
      <c r="K56" s="29"/>
      <c r="L56" s="29"/>
      <c r="M56" s="29"/>
      <c r="N56" s="29"/>
      <c r="O56" s="29"/>
      <c r="P56" s="29"/>
      <c r="Q56" s="808"/>
      <c r="R56" s="129"/>
    </row>
    <row r="57" spans="1:18" ht="9" customHeight="1" x14ac:dyDescent="0.2">
      <c r="A57" s="7"/>
      <c r="B57" s="416"/>
      <c r="C57" s="416"/>
      <c r="D57" s="29"/>
      <c r="E57" s="29"/>
      <c r="F57" s="29"/>
      <c r="G57" s="29"/>
      <c r="H57" s="29"/>
      <c r="I57" s="29"/>
      <c r="J57" s="29"/>
      <c r="K57" s="29"/>
      <c r="L57" s="29"/>
      <c r="M57" s="29"/>
      <c r="N57" s="29"/>
      <c r="O57" s="29"/>
      <c r="P57" s="29"/>
      <c r="Q57" s="808"/>
      <c r="R57" s="129"/>
    </row>
    <row r="58" spans="1:18" ht="15.95" customHeight="1" x14ac:dyDescent="0.2">
      <c r="A58" s="44" t="s">
        <v>150</v>
      </c>
      <c r="B58" s="19"/>
      <c r="C58" s="49"/>
      <c r="D58" s="29"/>
      <c r="E58" s="29"/>
      <c r="F58" s="29"/>
      <c r="G58" s="29"/>
      <c r="H58" s="29"/>
      <c r="I58" s="29"/>
      <c r="J58" s="29"/>
      <c r="K58" s="29"/>
      <c r="L58" s="29"/>
      <c r="M58" s="29"/>
      <c r="N58" s="29"/>
      <c r="O58" s="29"/>
      <c r="P58" s="29"/>
      <c r="Q58" s="808">
        <f>Q165</f>
        <v>0</v>
      </c>
      <c r="R58" s="129"/>
    </row>
    <row r="59" spans="1:18" ht="9" customHeight="1" thickBot="1" x14ac:dyDescent="0.25">
      <c r="A59" s="123"/>
      <c r="B59" s="12"/>
      <c r="C59" s="85"/>
      <c r="D59" s="492"/>
      <c r="E59" s="492"/>
      <c r="F59" s="492"/>
      <c r="G59" s="492"/>
      <c r="H59" s="492"/>
      <c r="I59" s="492"/>
      <c r="J59" s="492"/>
      <c r="K59" s="492"/>
      <c r="L59" s="492"/>
      <c r="M59" s="492"/>
      <c r="N59" s="492"/>
      <c r="O59" s="492"/>
      <c r="P59" s="492"/>
      <c r="Q59" s="809"/>
      <c r="R59" s="129"/>
    </row>
    <row r="60" spans="1:18" ht="9" customHeight="1" x14ac:dyDescent="0.2">
      <c r="A60" s="63"/>
      <c r="B60" s="64"/>
      <c r="C60" s="19"/>
      <c r="D60" s="29"/>
      <c r="E60" s="29"/>
      <c r="F60" s="29"/>
      <c r="G60" s="29"/>
      <c r="H60" s="29"/>
      <c r="I60" s="29"/>
      <c r="J60" s="29"/>
      <c r="K60" s="29"/>
      <c r="L60" s="29"/>
      <c r="M60" s="29"/>
      <c r="N60" s="29"/>
      <c r="O60" s="29"/>
      <c r="P60" s="29"/>
      <c r="Q60" s="808"/>
      <c r="R60" s="129"/>
    </row>
    <row r="61" spans="1:18" ht="15.95" customHeight="1" x14ac:dyDescent="0.2">
      <c r="A61" s="444" t="s">
        <v>201</v>
      </c>
      <c r="B61" s="64"/>
      <c r="C61" s="19"/>
      <c r="D61" s="29"/>
      <c r="E61" s="29"/>
      <c r="F61" s="29"/>
      <c r="G61" s="29"/>
      <c r="H61" s="29"/>
      <c r="I61" s="29"/>
      <c r="J61" s="29"/>
      <c r="K61" s="29"/>
      <c r="L61" s="29"/>
      <c r="M61" s="29"/>
      <c r="N61" s="29"/>
      <c r="O61" s="29"/>
      <c r="P61" s="29"/>
      <c r="Q61" s="808">
        <f>Q169</f>
        <v>0</v>
      </c>
      <c r="R61" s="129"/>
    </row>
    <row r="62" spans="1:18" ht="10.5" customHeight="1" thickBot="1" x14ac:dyDescent="0.25">
      <c r="A62" s="11"/>
      <c r="B62" s="12"/>
      <c r="C62" s="85"/>
      <c r="D62" s="492"/>
      <c r="E62" s="492"/>
      <c r="F62" s="492"/>
      <c r="G62" s="492"/>
      <c r="H62" s="492"/>
      <c r="I62" s="492"/>
      <c r="J62" s="492"/>
      <c r="K62" s="492"/>
      <c r="L62" s="492"/>
      <c r="M62" s="492"/>
      <c r="N62" s="492"/>
      <c r="O62" s="492"/>
      <c r="P62" s="492"/>
      <c r="Q62" s="809"/>
      <c r="R62" s="129"/>
    </row>
    <row r="63" spans="1:18" ht="10.5" customHeight="1" x14ac:dyDescent="0.2">
      <c r="A63" s="445"/>
      <c r="B63" s="307"/>
      <c r="C63" s="300"/>
      <c r="D63" s="412"/>
      <c r="E63" s="412"/>
      <c r="F63" s="412"/>
      <c r="G63" s="412"/>
      <c r="H63" s="412"/>
      <c r="I63" s="412"/>
      <c r="J63" s="412"/>
      <c r="K63" s="412"/>
      <c r="L63" s="412"/>
      <c r="M63" s="412"/>
      <c r="N63" s="412"/>
      <c r="O63" s="412"/>
      <c r="P63" s="412"/>
      <c r="Q63" s="813"/>
      <c r="R63" s="129"/>
    </row>
    <row r="64" spans="1:18" ht="15.75" customHeight="1" x14ac:dyDescent="0.2">
      <c r="A64" s="487" t="s">
        <v>332</v>
      </c>
      <c r="B64" s="64"/>
      <c r="C64" s="19"/>
      <c r="D64" s="29"/>
      <c r="E64" s="29"/>
      <c r="F64" s="29"/>
      <c r="G64" s="29"/>
      <c r="H64" s="29"/>
      <c r="I64" s="29"/>
      <c r="J64" s="29"/>
      <c r="K64" s="29"/>
      <c r="L64" s="29"/>
      <c r="M64" s="29"/>
      <c r="N64" s="29"/>
      <c r="O64" s="29"/>
      <c r="P64" s="29"/>
      <c r="Q64" s="808">
        <f>Q172</f>
        <v>0</v>
      </c>
      <c r="R64" s="129"/>
    </row>
    <row r="65" spans="1:19" ht="15.95" customHeight="1" thickBot="1" x14ac:dyDescent="0.25">
      <c r="A65" s="491"/>
      <c r="B65" s="492"/>
      <c r="C65" s="474"/>
      <c r="D65" s="492"/>
      <c r="E65" s="492"/>
      <c r="F65" s="492"/>
      <c r="G65" s="492"/>
      <c r="H65" s="492"/>
      <c r="I65" s="492"/>
      <c r="J65" s="492"/>
      <c r="K65" s="492"/>
      <c r="L65" s="492"/>
      <c r="M65" s="492"/>
      <c r="N65" s="492"/>
      <c r="O65" s="493"/>
      <c r="P65" s="492"/>
      <c r="Q65" s="814"/>
      <c r="R65" s="129"/>
      <c r="S65" s="225"/>
    </row>
    <row r="66" spans="1:19" ht="15.95" customHeight="1" thickBot="1" x14ac:dyDescent="0.25">
      <c r="A66" s="459"/>
      <c r="B66" s="460"/>
      <c r="C66" s="32"/>
      <c r="D66" s="420"/>
      <c r="E66" s="420"/>
      <c r="F66" s="420"/>
      <c r="G66" s="420"/>
      <c r="H66" s="420"/>
      <c r="I66" s="420"/>
      <c r="J66" s="420"/>
      <c r="K66" s="420"/>
      <c r="L66" s="420"/>
      <c r="M66" s="420"/>
      <c r="N66" s="420"/>
      <c r="O66" s="464" t="s">
        <v>320</v>
      </c>
      <c r="P66" s="420"/>
      <c r="Q66" s="815">
        <f>Q174</f>
        <v>0</v>
      </c>
      <c r="R66" s="129"/>
    </row>
    <row r="67" spans="1:19" ht="9.75" customHeight="1" thickTop="1" x14ac:dyDescent="0.2">
      <c r="A67" s="445"/>
      <c r="B67" s="307"/>
      <c r="C67" s="300"/>
      <c r="D67" s="29"/>
      <c r="E67" s="29"/>
      <c r="F67" s="29"/>
      <c r="G67" s="29"/>
      <c r="H67" s="29"/>
      <c r="I67" s="29"/>
      <c r="J67" s="29"/>
      <c r="K67" s="29"/>
      <c r="L67" s="29"/>
      <c r="M67" s="29"/>
      <c r="N67" s="29"/>
      <c r="O67" s="29"/>
      <c r="P67" s="29"/>
      <c r="Q67" s="808"/>
      <c r="R67" s="129"/>
    </row>
    <row r="68" spans="1:19" ht="15.95" customHeight="1" x14ac:dyDescent="0.2">
      <c r="A68" s="447" t="s">
        <v>316</v>
      </c>
      <c r="B68" s="64"/>
      <c r="C68" s="19"/>
      <c r="D68" s="29"/>
      <c r="E68" s="29"/>
      <c r="F68" s="29"/>
      <c r="G68" s="29"/>
      <c r="H68" s="29"/>
      <c r="I68" s="29"/>
      <c r="J68" s="29"/>
      <c r="K68" s="29"/>
      <c r="L68" s="29"/>
      <c r="M68" s="29"/>
      <c r="N68" s="29"/>
      <c r="O68" s="29"/>
      <c r="P68" s="29"/>
      <c r="Q68" s="808">
        <f>Q176</f>
        <v>0</v>
      </c>
      <c r="R68" s="129"/>
    </row>
    <row r="69" spans="1:19" ht="9" customHeight="1" thickBot="1" x14ac:dyDescent="0.25">
      <c r="A69" s="11"/>
      <c r="B69" s="12"/>
      <c r="C69" s="85"/>
      <c r="D69" s="492"/>
      <c r="E69" s="492"/>
      <c r="F69" s="492"/>
      <c r="G69" s="492"/>
      <c r="H69" s="492"/>
      <c r="I69" s="492"/>
      <c r="J69" s="492"/>
      <c r="K69" s="492"/>
      <c r="L69" s="492"/>
      <c r="M69" s="492"/>
      <c r="N69" s="492"/>
      <c r="O69" s="492"/>
      <c r="P69" s="492"/>
      <c r="Q69" s="809"/>
      <c r="R69" s="129"/>
    </row>
    <row r="70" spans="1:19" ht="20.25" customHeight="1" thickBot="1" x14ac:dyDescent="0.25">
      <c r="A70" s="308"/>
      <c r="B70" s="14"/>
      <c r="C70" s="14"/>
      <c r="D70" s="29"/>
      <c r="E70" s="29"/>
      <c r="F70" s="29"/>
      <c r="G70" s="29"/>
      <c r="H70" s="29"/>
      <c r="I70" s="29"/>
      <c r="J70" s="29"/>
      <c r="K70" s="29"/>
      <c r="L70" s="29"/>
      <c r="M70" s="29"/>
      <c r="N70" s="29"/>
      <c r="O70" s="29"/>
      <c r="P70" s="464" t="s">
        <v>328</v>
      </c>
      <c r="Q70" s="816">
        <f>Q178</f>
        <v>0</v>
      </c>
      <c r="R70" s="129"/>
    </row>
    <row r="71" spans="1:19" ht="20.25" customHeight="1" thickTop="1" thickBot="1" x14ac:dyDescent="0.25">
      <c r="A71" s="438"/>
      <c r="B71" s="368"/>
      <c r="C71" s="368"/>
      <c r="D71" s="373"/>
      <c r="E71" s="448"/>
      <c r="F71" s="448"/>
      <c r="G71" s="371"/>
      <c r="H71" s="372"/>
      <c r="I71" s="448"/>
      <c r="J71" s="372"/>
      <c r="K71" s="449"/>
      <c r="L71" s="372"/>
      <c r="M71" s="372"/>
      <c r="N71" s="436" t="s">
        <v>241</v>
      </c>
      <c r="O71" s="619">
        <f>'Input Data'!$D$26/100</f>
        <v>1</v>
      </c>
      <c r="P71" s="620" t="s">
        <v>240</v>
      </c>
      <c r="Q71" s="817">
        <f>O71*Q178</f>
        <v>0</v>
      </c>
      <c r="R71" s="129"/>
    </row>
    <row r="72" spans="1:19" ht="20.25" customHeight="1" thickTop="1" thickBot="1" x14ac:dyDescent="0.25">
      <c r="A72" s="438"/>
      <c r="B72" s="368"/>
      <c r="C72" s="368"/>
      <c r="D72" s="373"/>
      <c r="E72" s="448"/>
      <c r="F72" s="448"/>
      <c r="G72" s="371"/>
      <c r="H72" s="372"/>
      <c r="I72" s="448"/>
      <c r="J72" s="372"/>
      <c r="K72" s="449"/>
      <c r="L72" s="372"/>
      <c r="M72" s="372"/>
      <c r="N72" s="436"/>
      <c r="O72" s="1102" t="s">
        <v>445</v>
      </c>
      <c r="P72" s="620"/>
      <c r="Q72" s="1103">
        <f>'Input Data'!H10*'Input Data'!F10</f>
        <v>0</v>
      </c>
      <c r="R72" s="129"/>
    </row>
    <row r="73" spans="1:19" ht="23.25" customHeight="1" thickTop="1" x14ac:dyDescent="0.2">
      <c r="A73" s="82" t="s">
        <v>180</v>
      </c>
      <c r="B73" s="64"/>
      <c r="C73" s="64"/>
      <c r="D73" s="64"/>
      <c r="E73" s="64"/>
      <c r="F73" s="64"/>
      <c r="G73" s="64"/>
      <c r="H73" s="64"/>
      <c r="I73" s="64"/>
      <c r="J73" s="64"/>
      <c r="K73" s="155"/>
      <c r="L73" s="88"/>
      <c r="M73" s="64"/>
      <c r="N73" s="94"/>
      <c r="O73" s="64"/>
      <c r="P73" s="94"/>
      <c r="Q73" s="818"/>
      <c r="R73" s="129"/>
    </row>
    <row r="74" spans="1:19" ht="15.6" customHeight="1" x14ac:dyDescent="0.2">
      <c r="A74" s="16" t="s">
        <v>175</v>
      </c>
      <c r="B74" s="64"/>
      <c r="C74" s="64"/>
      <c r="D74" s="64"/>
      <c r="E74" s="64"/>
      <c r="F74" s="64"/>
      <c r="G74" s="64"/>
      <c r="H74" s="64"/>
      <c r="I74" s="64"/>
      <c r="J74" s="94" t="s">
        <v>124</v>
      </c>
      <c r="K74" s="94"/>
      <c r="L74" s="88"/>
      <c r="M74" s="89" t="s">
        <v>6</v>
      </c>
      <c r="N74" s="64"/>
      <c r="O74" s="88"/>
      <c r="P74" s="90" t="s">
        <v>118</v>
      </c>
      <c r="Q74" s="818">
        <f>IF(Q118&gt;0,0,'Time Based'!H22)</f>
        <v>0</v>
      </c>
      <c r="R74" s="129"/>
    </row>
    <row r="75" spans="1:19" ht="15.6" customHeight="1" x14ac:dyDescent="0.2">
      <c r="A75" s="16" t="s">
        <v>123</v>
      </c>
      <c r="B75" s="64"/>
      <c r="C75" s="29"/>
      <c r="D75" s="29"/>
      <c r="E75" s="36">
        <f>IF('Input Data'!$D$33="Y",0.7,1)</f>
        <v>1</v>
      </c>
      <c r="F75" s="36" t="s">
        <v>25</v>
      </c>
      <c r="G75" s="66">
        <f>IF('Input Data'!$E$36="Y",0.06,0)</f>
        <v>0</v>
      </c>
      <c r="H75" s="36" t="s">
        <v>1</v>
      </c>
      <c r="I75" s="49">
        <f>IF('Input Data'!$F$31=1,0.05,IF('Input Data'!$F$31=2,Scales!$L$5,IF('Input Data'!$F$31=3,Scales!$L$6,IF('Input Data'!$F$31=4,Scales!$L$7,IF('Input Data'!$F$31=5,0.95,1)))))</f>
        <v>0.05</v>
      </c>
      <c r="J75" s="38" t="s">
        <v>1</v>
      </c>
      <c r="K75" s="91">
        <f>IF('Input Data'!$E$36="Y",$Q$118,0)</f>
        <v>0</v>
      </c>
      <c r="L75" s="92" t="s">
        <v>118</v>
      </c>
      <c r="M75" s="93">
        <f>IF('Input Data'!$E$36="Y",(E75*G75*I75*K75),0)</f>
        <v>0</v>
      </c>
      <c r="N75" s="64"/>
      <c r="O75" s="143" t="s">
        <v>122</v>
      </c>
      <c r="P75" s="90" t="s">
        <v>118</v>
      </c>
      <c r="Q75" s="818">
        <f>IF('Input Data'!E36="Y",IF(M75 &gt;'Time Based'!$H$38,'Time Based'!$H$38,$M$75),0)</f>
        <v>0</v>
      </c>
      <c r="R75" s="129"/>
    </row>
    <row r="76" spans="1:19" ht="15.75" customHeight="1" x14ac:dyDescent="0.2">
      <c r="A76" s="17" t="s">
        <v>216</v>
      </c>
      <c r="B76" s="374" t="s">
        <v>242</v>
      </c>
      <c r="C76" s="64"/>
      <c r="D76" s="64"/>
      <c r="E76" s="64"/>
      <c r="F76" s="64"/>
      <c r="G76" s="64"/>
      <c r="H76" s="29"/>
      <c r="I76" s="29"/>
      <c r="J76" s="94" t="s">
        <v>217</v>
      </c>
      <c r="K76" s="29"/>
      <c r="L76" s="88"/>
      <c r="M76" s="89" t="s">
        <v>6</v>
      </c>
      <c r="N76" s="64"/>
      <c r="O76" s="89" t="s">
        <v>122</v>
      </c>
      <c r="P76" s="90" t="s">
        <v>118</v>
      </c>
      <c r="Q76" s="818">
        <f>'Travelling &amp; Subsistence'!I17</f>
        <v>0</v>
      </c>
      <c r="R76" s="129"/>
    </row>
    <row r="77" spans="1:19" x14ac:dyDescent="0.2">
      <c r="A77" s="17" t="s">
        <v>218</v>
      </c>
      <c r="B77" s="64"/>
      <c r="C77" s="64"/>
      <c r="D77" s="64"/>
      <c r="E77" s="64"/>
      <c r="F77" s="64"/>
      <c r="G77" s="64"/>
      <c r="H77" s="29"/>
      <c r="I77" s="29"/>
      <c r="J77" s="94" t="s">
        <v>219</v>
      </c>
      <c r="K77" s="29"/>
      <c r="L77" s="88"/>
      <c r="M77" s="89" t="s">
        <v>6</v>
      </c>
      <c r="N77" s="64"/>
      <c r="O77" s="89" t="s">
        <v>122</v>
      </c>
      <c r="P77" s="90" t="s">
        <v>118</v>
      </c>
      <c r="Q77" s="818">
        <f>'Time Based'!H77</f>
        <v>0</v>
      </c>
      <c r="R77" s="129"/>
    </row>
    <row r="78" spans="1:19" ht="15.75" thickBot="1" x14ac:dyDescent="0.25">
      <c r="A78" s="18"/>
      <c r="B78" s="54"/>
      <c r="C78" s="54"/>
      <c r="D78" s="15"/>
      <c r="E78" s="15"/>
      <c r="F78" s="15"/>
      <c r="G78" s="15"/>
      <c r="H78" s="15"/>
      <c r="I78" s="15"/>
      <c r="J78" s="95"/>
      <c r="K78" s="96"/>
      <c r="L78" s="28"/>
      <c r="M78" s="310" t="s">
        <v>181</v>
      </c>
      <c r="N78" s="106"/>
      <c r="O78" s="106"/>
      <c r="P78" s="311"/>
      <c r="Q78" s="819">
        <f>SUM(Q74:Q77)</f>
        <v>0</v>
      </c>
      <c r="R78" s="129"/>
    </row>
    <row r="79" spans="1:19" ht="22.5" customHeight="1" thickTop="1" x14ac:dyDescent="0.2">
      <c r="A79" s="82" t="s">
        <v>183</v>
      </c>
      <c r="B79" s="64"/>
      <c r="C79" s="64"/>
      <c r="D79" s="64"/>
      <c r="E79" s="64"/>
      <c r="F79" s="64"/>
      <c r="G79" s="64"/>
      <c r="H79" s="64"/>
      <c r="I79" s="64"/>
      <c r="J79" s="64"/>
      <c r="K79" s="64"/>
      <c r="L79" s="64"/>
      <c r="M79" s="64"/>
      <c r="N79" s="64"/>
      <c r="O79" s="97"/>
      <c r="P79" s="91"/>
      <c r="Q79" s="818"/>
      <c r="R79" s="129"/>
    </row>
    <row r="80" spans="1:19" x14ac:dyDescent="0.2">
      <c r="A80" s="17" t="s">
        <v>137</v>
      </c>
      <c r="B80" s="64"/>
      <c r="C80" s="374" t="s">
        <v>242</v>
      </c>
      <c r="D80" s="64"/>
      <c r="E80" s="64"/>
      <c r="F80" s="64"/>
      <c r="G80" s="64"/>
      <c r="H80" s="64"/>
      <c r="I80" s="64"/>
      <c r="J80" s="64"/>
      <c r="K80" s="64"/>
      <c r="L80" s="64"/>
      <c r="M80" s="94"/>
      <c r="N80" s="64"/>
      <c r="O80" s="19"/>
      <c r="P80" s="19"/>
      <c r="Q80" s="820">
        <f>'Travelling &amp; Subsistence'!I60</f>
        <v>0</v>
      </c>
      <c r="R80" s="129"/>
    </row>
    <row r="81" spans="1:18" x14ac:dyDescent="0.2">
      <c r="A81" s="17" t="s">
        <v>96</v>
      </c>
      <c r="B81" s="64"/>
      <c r="C81" s="64"/>
      <c r="D81" s="64"/>
      <c r="E81" s="64"/>
      <c r="F81" s="64"/>
      <c r="G81" s="64"/>
      <c r="H81" s="64"/>
      <c r="I81" s="64"/>
      <c r="J81" s="64"/>
      <c r="K81" s="64"/>
      <c r="L81" s="64"/>
      <c r="M81" s="94"/>
      <c r="N81" s="64"/>
      <c r="O81" s="19"/>
      <c r="P81" s="19"/>
      <c r="Q81" s="820">
        <f>'Typing, Duplicating, &amp; Printing'!I59</f>
        <v>0</v>
      </c>
      <c r="R81" s="129"/>
    </row>
    <row r="82" spans="1:18" x14ac:dyDescent="0.2">
      <c r="A82" s="17" t="s">
        <v>97</v>
      </c>
      <c r="B82" s="64"/>
      <c r="C82" s="64"/>
      <c r="D82" s="64"/>
      <c r="E82" s="64"/>
      <c r="F82" s="64"/>
      <c r="G82" s="64"/>
      <c r="H82" s="64"/>
      <c r="I82" s="64"/>
      <c r="J82" s="64"/>
      <c r="K82" s="64"/>
      <c r="L82" s="64"/>
      <c r="M82" s="94"/>
      <c r="N82" s="64"/>
      <c r="O82" s="19"/>
      <c r="P82" s="19"/>
      <c r="Q82" s="820">
        <f>'Site staff &amp; Other'!H60</f>
        <v>0</v>
      </c>
      <c r="R82" s="129"/>
    </row>
    <row r="83" spans="1:18" x14ac:dyDescent="0.2">
      <c r="A83" s="17"/>
      <c r="B83" s="64"/>
      <c r="C83" s="64"/>
      <c r="D83" s="64"/>
      <c r="E83" s="64"/>
      <c r="F83" s="64"/>
      <c r="G83" s="64"/>
      <c r="H83" s="64"/>
      <c r="I83" s="64"/>
      <c r="J83" s="64"/>
      <c r="K83" s="64"/>
      <c r="L83" s="64"/>
      <c r="M83" s="94"/>
      <c r="N83" s="64"/>
      <c r="O83" s="19"/>
      <c r="P83" s="19"/>
      <c r="Q83" s="820"/>
      <c r="R83" s="129"/>
    </row>
    <row r="84" spans="1:18" ht="15.75" thickBot="1" x14ac:dyDescent="0.25">
      <c r="A84" s="18"/>
      <c r="B84" s="15"/>
      <c r="C84" s="15"/>
      <c r="D84" s="15"/>
      <c r="E84" s="15"/>
      <c r="F84" s="15"/>
      <c r="G84" s="15"/>
      <c r="H84" s="15"/>
      <c r="I84" s="312" t="s">
        <v>182</v>
      </c>
      <c r="J84" s="313"/>
      <c r="K84" s="314"/>
      <c r="L84" s="106"/>
      <c r="M84" s="313"/>
      <c r="N84" s="313"/>
      <c r="O84" s="314"/>
      <c r="P84" s="314"/>
      <c r="Q84" s="821">
        <f>SUM(Q80:Q82)</f>
        <v>0</v>
      </c>
      <c r="R84" s="129"/>
    </row>
    <row r="85" spans="1:18" ht="15.75" thickTop="1" x14ac:dyDescent="0.2">
      <c r="A85" s="98"/>
      <c r="B85" s="81"/>
      <c r="C85" s="64"/>
      <c r="D85" s="64"/>
      <c r="E85" s="64"/>
      <c r="F85" s="64"/>
      <c r="G85" s="64"/>
      <c r="H85" s="64"/>
      <c r="I85" s="64"/>
      <c r="J85" s="64"/>
      <c r="K85" s="369" t="s">
        <v>23</v>
      </c>
      <c r="L85" s="370"/>
      <c r="M85" s="370" t="s">
        <v>114</v>
      </c>
      <c r="N85" s="370"/>
      <c r="O85" s="370"/>
      <c r="P85" s="370"/>
      <c r="Q85" s="822">
        <f>Q71-Q72+Q78+Q84</f>
        <v>0</v>
      </c>
      <c r="R85" s="129"/>
    </row>
    <row r="86" spans="1:18" x14ac:dyDescent="0.2">
      <c r="A86" s="17"/>
      <c r="B86" s="64"/>
      <c r="C86" s="64"/>
      <c r="D86" s="64"/>
      <c r="E86" s="64"/>
      <c r="F86" s="64"/>
      <c r="G86" s="64"/>
      <c r="H86" s="64"/>
      <c r="I86" s="19"/>
      <c r="J86" s="19"/>
      <c r="K86" s="105" t="s">
        <v>117</v>
      </c>
      <c r="L86" s="104"/>
      <c r="M86" s="104"/>
      <c r="N86" s="315"/>
      <c r="O86" s="315"/>
      <c r="P86" s="315"/>
      <c r="Q86" s="823">
        <f>ROUND('Previous Payments'!K42,2)</f>
        <v>0</v>
      </c>
      <c r="R86" s="129"/>
    </row>
    <row r="87" spans="1:18" ht="16.5" thickBot="1" x14ac:dyDescent="0.25">
      <c r="A87" s="17"/>
      <c r="B87" s="64"/>
      <c r="C87" s="15"/>
      <c r="D87" s="64"/>
      <c r="E87" s="64"/>
      <c r="F87" s="64"/>
      <c r="G87" s="1398" t="str">
        <f>IF($Q$85&lt;$Q$86,"OVERPAID BY (Ecl Tax)",IF($Q$85&gt;$Q$86,"FEES NOW DUE EXCLUDING VAT &amp; NON TAXABLE EXPENSES",""))</f>
        <v/>
      </c>
      <c r="H87" s="1399"/>
      <c r="I87" s="1399"/>
      <c r="J87" s="1399"/>
      <c r="K87" s="1399"/>
      <c r="L87" s="1399"/>
      <c r="M87" s="1400"/>
      <c r="N87" s="1400"/>
      <c r="O87" s="1400"/>
      <c r="P87" s="100"/>
      <c r="Q87" s="824">
        <f>Q85-Q86</f>
        <v>0</v>
      </c>
      <c r="R87" s="129"/>
    </row>
    <row r="88" spans="1:18" ht="15.75" thickTop="1" x14ac:dyDescent="0.2">
      <c r="A88" s="98"/>
      <c r="B88" s="81"/>
      <c r="C88" s="64"/>
      <c r="D88" s="81" t="s">
        <v>0</v>
      </c>
      <c r="E88" s="81"/>
      <c r="F88" s="81"/>
      <c r="G88" s="81"/>
      <c r="H88" s="81"/>
      <c r="I88" s="1405">
        <v>0.14000000000000001</v>
      </c>
      <c r="J88" s="1406"/>
      <c r="K88" s="81" t="s">
        <v>21</v>
      </c>
      <c r="L88" s="19"/>
      <c r="M88" s="101">
        <f>IF('Input Data'!D17="none",0,Q87)</f>
        <v>0</v>
      </c>
      <c r="N88" s="81"/>
      <c r="O88" s="81"/>
      <c r="P88" s="81"/>
      <c r="Q88" s="825">
        <f>I88*M88</f>
        <v>0</v>
      </c>
      <c r="R88" s="129"/>
    </row>
    <row r="89" spans="1:18" ht="15.75" thickBot="1" x14ac:dyDescent="0.25">
      <c r="A89" s="17"/>
      <c r="B89" s="64"/>
      <c r="C89" s="64"/>
      <c r="D89" s="102"/>
      <c r="E89" s="102"/>
      <c r="F89" s="102"/>
      <c r="G89" s="102"/>
      <c r="H89" s="102"/>
      <c r="I89" s="94"/>
      <c r="J89" s="103"/>
      <c r="K89" s="64"/>
      <c r="L89" s="103" t="s">
        <v>232</v>
      </c>
      <c r="M89" s="19"/>
      <c r="N89" s="99"/>
      <c r="O89" s="316"/>
      <c r="P89" s="94"/>
      <c r="Q89" s="818">
        <f>'Non Taxable'!I20</f>
        <v>0</v>
      </c>
      <c r="R89" s="129"/>
    </row>
    <row r="90" spans="1:18" ht="24.75" customHeight="1" thickBot="1" x14ac:dyDescent="0.25">
      <c r="A90" s="317" t="s">
        <v>22</v>
      </c>
      <c r="B90" s="14"/>
      <c r="C90" s="14"/>
      <c r="D90" s="14"/>
      <c r="E90" s="14"/>
      <c r="F90" s="14"/>
      <c r="G90" s="14"/>
      <c r="H90" s="14"/>
      <c r="I90" s="1403" t="str">
        <f>IF($Q$85&lt;$Q$86,"AMOUNT TO BE RECOVERED (Incl VAT)",IF($Q$85&gt;$Q$86,"FEES NOW DUE INCLUDING VAT &amp; NON TAXABLE EXPENSES",""))</f>
        <v/>
      </c>
      <c r="J90" s="1404"/>
      <c r="K90" s="1404"/>
      <c r="L90" s="1404"/>
      <c r="M90" s="1404"/>
      <c r="N90" s="1404"/>
      <c r="O90" s="1404"/>
      <c r="P90" s="420"/>
      <c r="Q90" s="826">
        <f>Q87+Q88+Q89</f>
        <v>0</v>
      </c>
      <c r="R90" s="129"/>
    </row>
    <row r="91" spans="1:18" ht="23.25" customHeight="1" thickTop="1" thickBot="1" x14ac:dyDescent="0.25">
      <c r="A91" s="785" t="s">
        <v>131</v>
      </c>
      <c r="B91" s="786"/>
      <c r="C91" s="786"/>
      <c r="D91" s="786"/>
      <c r="E91" s="786"/>
      <c r="F91" s="786"/>
      <c r="G91" s="786"/>
      <c r="H91" s="786"/>
      <c r="I91" s="786"/>
      <c r="J91" s="786"/>
      <c r="K91" s="786"/>
      <c r="L91" s="786"/>
      <c r="M91" s="786"/>
      <c r="N91" s="786"/>
      <c r="O91" s="786"/>
      <c r="P91" s="786"/>
      <c r="Q91" s="787"/>
      <c r="R91" s="129"/>
    </row>
    <row r="92" spans="1:18" ht="9.75" customHeight="1" thickTop="1" x14ac:dyDescent="0.2">
      <c r="A92" s="727"/>
      <c r="B92" s="728"/>
      <c r="C92" s="729"/>
      <c r="D92" s="729"/>
      <c r="E92" s="730"/>
      <c r="F92" s="729"/>
      <c r="G92" s="729"/>
      <c r="H92" s="729"/>
      <c r="I92" s="731"/>
      <c r="J92" s="732"/>
      <c r="K92" s="732"/>
      <c r="L92" s="732"/>
      <c r="M92" s="732"/>
      <c r="N92" s="732"/>
      <c r="O92" s="733"/>
      <c r="P92" s="734"/>
      <c r="Q92" s="735"/>
      <c r="R92" s="129"/>
    </row>
    <row r="93" spans="1:18" ht="15.75" x14ac:dyDescent="0.2">
      <c r="A93" s="736" t="s">
        <v>400</v>
      </c>
      <c r="B93" s="737"/>
      <c r="C93" s="729"/>
      <c r="D93" s="729"/>
      <c r="E93" s="729"/>
      <c r="F93" s="729"/>
      <c r="G93" s="729"/>
      <c r="H93" s="729"/>
      <c r="I93" s="729"/>
      <c r="J93" s="732"/>
      <c r="K93" s="732"/>
      <c r="L93" s="732"/>
      <c r="M93" s="732"/>
      <c r="N93" s="732"/>
      <c r="O93" s="733"/>
      <c r="P93" s="734"/>
      <c r="Q93" s="735"/>
      <c r="R93" s="129"/>
    </row>
    <row r="94" spans="1:18" ht="7.5" customHeight="1" x14ac:dyDescent="0.2">
      <c r="A94" s="738"/>
      <c r="B94" s="737"/>
      <c r="C94" s="729"/>
      <c r="D94" s="729"/>
      <c r="E94" s="729"/>
      <c r="F94" s="729"/>
      <c r="G94" s="729"/>
      <c r="H94" s="729"/>
      <c r="I94" s="729"/>
      <c r="J94" s="732"/>
      <c r="K94" s="732"/>
      <c r="L94" s="732"/>
      <c r="M94" s="732"/>
      <c r="N94" s="732"/>
      <c r="O94" s="733"/>
      <c r="P94" s="734"/>
      <c r="Q94" s="735"/>
      <c r="R94" s="129"/>
    </row>
    <row r="95" spans="1:18" ht="15.75" x14ac:dyDescent="0.2">
      <c r="A95" s="739"/>
      <c r="B95" s="740" t="s">
        <v>335</v>
      </c>
      <c r="C95" s="741"/>
      <c r="D95" s="742"/>
      <c r="E95" s="743"/>
      <c r="F95" s="743"/>
      <c r="G95" s="743"/>
      <c r="H95" s="743"/>
      <c r="I95" s="744"/>
      <c r="J95" s="732"/>
      <c r="K95" s="744"/>
      <c r="L95" s="740" t="s">
        <v>336</v>
      </c>
      <c r="M95" s="745"/>
      <c r="N95" s="745"/>
      <c r="O95" s="733"/>
      <c r="P95" s="734"/>
      <c r="Q95" s="735"/>
      <c r="R95" s="129"/>
    </row>
    <row r="96" spans="1:18" ht="9.75" customHeight="1" thickBot="1" x14ac:dyDescent="0.25">
      <c r="A96" s="746"/>
      <c r="B96" s="747"/>
      <c r="C96" s="748"/>
      <c r="D96" s="748"/>
      <c r="E96" s="748" t="s">
        <v>337</v>
      </c>
      <c r="F96" s="748"/>
      <c r="G96" s="748"/>
      <c r="H96" s="748"/>
      <c r="I96" s="749"/>
      <c r="J96" s="750"/>
      <c r="K96" s="750"/>
      <c r="L96" s="750"/>
      <c r="M96" s="750"/>
      <c r="N96" s="750"/>
      <c r="O96" s="751"/>
      <c r="P96" s="752"/>
      <c r="Q96" s="753"/>
      <c r="R96" s="129"/>
    </row>
    <row r="97" spans="1:18" ht="15.75" thickTop="1" x14ac:dyDescent="0.2">
      <c r="A97" s="754" t="s">
        <v>338</v>
      </c>
      <c r="B97" s="728"/>
      <c r="C97" s="729"/>
      <c r="D97" s="743"/>
      <c r="E97" s="743"/>
      <c r="F97" s="729"/>
      <c r="G97" s="743"/>
      <c r="H97" s="743"/>
      <c r="I97" s="730"/>
      <c r="J97" s="755"/>
      <c r="K97" s="729"/>
      <c r="L97" s="755"/>
      <c r="M97" s="729"/>
      <c r="N97" s="755"/>
      <c r="O97" s="729"/>
      <c r="P97" s="755"/>
      <c r="Q97" s="756"/>
      <c r="R97" s="129"/>
    </row>
    <row r="98" spans="1:18" x14ac:dyDescent="0.2">
      <c r="A98" s="757" t="s">
        <v>339</v>
      </c>
      <c r="B98" s="737"/>
      <c r="C98" s="729"/>
      <c r="D98" s="743"/>
      <c r="E98" s="743"/>
      <c r="F98" s="729"/>
      <c r="G98" s="743"/>
      <c r="H98" s="743"/>
      <c r="I98" s="729"/>
      <c r="J98" s="755"/>
      <c r="K98" s="729"/>
      <c r="L98" s="755"/>
      <c r="M98" s="729"/>
      <c r="N98" s="755"/>
      <c r="O98" s="729"/>
      <c r="P98" s="755"/>
      <c r="Q98" s="758"/>
      <c r="R98" s="129"/>
    </row>
    <row r="99" spans="1:18" ht="9" customHeight="1" x14ac:dyDescent="0.2">
      <c r="A99" s="738"/>
      <c r="B99" s="737"/>
      <c r="C99" s="729"/>
      <c r="D99" s="743"/>
      <c r="E99" s="743"/>
      <c r="F99" s="729"/>
      <c r="G99" s="743"/>
      <c r="H99" s="743"/>
      <c r="I99" s="729"/>
      <c r="J99" s="733"/>
      <c r="K99" s="729"/>
      <c r="L99" s="759"/>
      <c r="M99" s="729"/>
      <c r="N99" s="760"/>
      <c r="O99" s="729"/>
      <c r="P99" s="761"/>
      <c r="Q99" s="758"/>
      <c r="R99" s="129"/>
    </row>
    <row r="100" spans="1:18" ht="15.75" x14ac:dyDescent="0.2">
      <c r="A100" s="739"/>
      <c r="B100" s="740" t="s">
        <v>340</v>
      </c>
      <c r="C100" s="741"/>
      <c r="D100" s="762"/>
      <c r="E100" s="762"/>
      <c r="F100" s="742"/>
      <c r="G100" s="762"/>
      <c r="H100" s="762"/>
      <c r="I100" s="745"/>
      <c r="J100" s="763"/>
      <c r="K100" s="743"/>
      <c r="L100" s="740" t="s">
        <v>341</v>
      </c>
      <c r="M100" s="745"/>
      <c r="N100" s="764"/>
      <c r="O100" s="745"/>
      <c r="P100" s="755"/>
      <c r="Q100" s="765"/>
      <c r="R100" s="129"/>
    </row>
    <row r="101" spans="1:18" ht="8.25" customHeight="1" x14ac:dyDescent="0.2">
      <c r="A101" s="766"/>
      <c r="B101" s="767"/>
      <c r="C101" s="768"/>
      <c r="D101" s="743"/>
      <c r="E101" s="743"/>
      <c r="F101" s="729"/>
      <c r="G101" s="743"/>
      <c r="H101" s="743"/>
      <c r="I101" s="744"/>
      <c r="J101" s="763"/>
      <c r="K101" s="740"/>
      <c r="L101" s="755"/>
      <c r="M101" s="744"/>
      <c r="N101" s="769"/>
      <c r="O101" s="744"/>
      <c r="P101" s="755"/>
      <c r="Q101" s="765"/>
      <c r="R101" s="129"/>
    </row>
    <row r="102" spans="1:18" x14ac:dyDescent="0.2">
      <c r="A102" s="779"/>
      <c r="B102" s="780" t="s">
        <v>336</v>
      </c>
      <c r="C102" s="742"/>
      <c r="D102" s="762"/>
      <c r="E102" s="762"/>
      <c r="F102" s="742"/>
      <c r="G102" s="762"/>
      <c r="H102" s="762"/>
      <c r="I102" s="742"/>
      <c r="J102" s="781"/>
      <c r="K102" s="780"/>
      <c r="L102" s="780" t="s">
        <v>336</v>
      </c>
      <c r="M102" s="742"/>
      <c r="N102" s="782"/>
      <c r="O102" s="742"/>
      <c r="P102" s="781"/>
      <c r="Q102" s="783"/>
      <c r="R102" s="129"/>
    </row>
    <row r="103" spans="1:18" x14ac:dyDescent="0.2">
      <c r="A103" s="784" t="s">
        <v>422</v>
      </c>
      <c r="B103" s="1407"/>
      <c r="C103" s="1408"/>
      <c r="D103" s="1408"/>
      <c r="E103" s="1408"/>
      <c r="F103" s="1408"/>
      <c r="G103" s="1408"/>
      <c r="H103" s="1408"/>
      <c r="I103" s="1408"/>
      <c r="J103" s="1408"/>
      <c r="K103" s="1408"/>
      <c r="L103" s="1408"/>
      <c r="M103" s="1408"/>
      <c r="N103" s="1408"/>
      <c r="O103" s="1408"/>
      <c r="P103" s="1408"/>
      <c r="Q103" s="1409"/>
      <c r="R103" s="129"/>
    </row>
    <row r="104" spans="1:18" ht="15.75" thickBot="1" x14ac:dyDescent="0.25">
      <c r="A104" s="770"/>
      <c r="B104" s="1410"/>
      <c r="C104" s="1410"/>
      <c r="D104" s="1410"/>
      <c r="E104" s="1410"/>
      <c r="F104" s="1410"/>
      <c r="G104" s="1410"/>
      <c r="H104" s="1410"/>
      <c r="I104" s="1410"/>
      <c r="J104" s="1410"/>
      <c r="K104" s="1410"/>
      <c r="L104" s="1410"/>
      <c r="M104" s="1410"/>
      <c r="N104" s="1410"/>
      <c r="O104" s="1410"/>
      <c r="P104" s="1410"/>
      <c r="Q104" s="1411"/>
      <c r="R104" s="129"/>
    </row>
    <row r="105" spans="1:18" ht="16.5" thickTop="1" x14ac:dyDescent="0.2">
      <c r="A105" s="558" t="s">
        <v>338</v>
      </c>
      <c r="B105" s="562"/>
      <c r="C105" s="556"/>
      <c r="D105" s="29"/>
      <c r="E105" s="29"/>
      <c r="F105" s="556"/>
      <c r="G105" s="29"/>
      <c r="H105" s="29"/>
      <c r="I105" s="556"/>
      <c r="J105" s="29"/>
      <c r="K105" s="562"/>
      <c r="L105" s="29"/>
      <c r="M105" s="556"/>
      <c r="N105" s="560"/>
      <c r="O105" s="556"/>
      <c r="P105" s="156"/>
      <c r="Q105" s="559"/>
      <c r="R105" s="129"/>
    </row>
    <row r="106" spans="1:18" ht="15.75" x14ac:dyDescent="0.2">
      <c r="A106" s="563" t="s">
        <v>342</v>
      </c>
      <c r="B106" s="564" t="s">
        <v>343</v>
      </c>
      <c r="C106" s="557"/>
      <c r="D106" s="561"/>
      <c r="E106" s="561"/>
      <c r="F106" s="557"/>
      <c r="G106" s="561"/>
      <c r="H106" s="561"/>
      <c r="I106" s="557"/>
      <c r="J106" s="561"/>
      <c r="K106" s="557"/>
      <c r="L106" s="561"/>
      <c r="M106" s="557"/>
      <c r="N106" s="565"/>
      <c r="O106" s="557"/>
      <c r="P106" s="561"/>
      <c r="Q106" s="566"/>
      <c r="R106" s="129"/>
    </row>
    <row r="107" spans="1:18" ht="25.5" customHeight="1" x14ac:dyDescent="0.2">
      <c r="A107" s="567" t="s">
        <v>344</v>
      </c>
      <c r="B107" s="568" t="s">
        <v>345</v>
      </c>
      <c r="C107" s="1323" t="s">
        <v>346</v>
      </c>
      <c r="D107" s="1324"/>
      <c r="E107" s="1324"/>
      <c r="F107" s="1323" t="s">
        <v>347</v>
      </c>
      <c r="G107" s="1324"/>
      <c r="H107" s="1324"/>
      <c r="I107" s="1323" t="s">
        <v>348</v>
      </c>
      <c r="J107" s="1324"/>
      <c r="K107" s="1323" t="s">
        <v>349</v>
      </c>
      <c r="L107" s="1324"/>
      <c r="M107" s="1323" t="s">
        <v>350</v>
      </c>
      <c r="N107" s="1324"/>
      <c r="O107" s="1323" t="s">
        <v>351</v>
      </c>
      <c r="P107" s="1324"/>
      <c r="Q107" s="569" t="s">
        <v>352</v>
      </c>
      <c r="R107" s="129"/>
    </row>
    <row r="108" spans="1:18" x14ac:dyDescent="0.2">
      <c r="A108" s="570" t="s">
        <v>353</v>
      </c>
      <c r="B108" s="846">
        <f>'Previous Payments'!J42-C108-F108-I108-K108-M108-O108</f>
        <v>0</v>
      </c>
      <c r="C108" s="1319">
        <f>'Time Based'!H78</f>
        <v>0</v>
      </c>
      <c r="D108" s="1320"/>
      <c r="E108" s="1320"/>
      <c r="F108" s="1319">
        <f>'Travelling &amp; Subsistence'!I61</f>
        <v>0</v>
      </c>
      <c r="G108" s="1320"/>
      <c r="H108" s="1320"/>
      <c r="I108" s="1319">
        <f>'Typing, Duplicating, &amp; Printing'!I60</f>
        <v>0</v>
      </c>
      <c r="J108" s="1320"/>
      <c r="K108" s="1319">
        <f>'Site staff &amp; Other'!H61</f>
        <v>0</v>
      </c>
      <c r="L108" s="1320"/>
      <c r="M108" s="1319">
        <f>'Previous Payments'!I42</f>
        <v>0</v>
      </c>
      <c r="N108" s="1320"/>
      <c r="O108" s="1319">
        <f>'Non Taxable'!I19</f>
        <v>0</v>
      </c>
      <c r="P108" s="1320"/>
      <c r="Q108" s="847">
        <f>SUM(B108:O108)</f>
        <v>0</v>
      </c>
      <c r="R108" s="129"/>
    </row>
    <row r="109" spans="1:18" x14ac:dyDescent="0.2">
      <c r="A109" s="570" t="s">
        <v>354</v>
      </c>
      <c r="B109" s="846">
        <f>B110-Q72-B108</f>
        <v>0</v>
      </c>
      <c r="C109" s="1325">
        <f>C110-C108</f>
        <v>0</v>
      </c>
      <c r="D109" s="1326"/>
      <c r="E109" s="1327"/>
      <c r="F109" s="1325">
        <f>F110-F108</f>
        <v>0</v>
      </c>
      <c r="G109" s="1326"/>
      <c r="H109" s="1327"/>
      <c r="I109" s="1325">
        <f>I110-I108</f>
        <v>0</v>
      </c>
      <c r="J109" s="1327"/>
      <c r="K109" s="1325">
        <f>K110-K108</f>
        <v>0</v>
      </c>
      <c r="L109" s="1327"/>
      <c r="M109" s="1325">
        <f>M110-M108</f>
        <v>0</v>
      </c>
      <c r="N109" s="1327"/>
      <c r="O109" s="1325">
        <f>O110-O108</f>
        <v>0</v>
      </c>
      <c r="P109" s="1327"/>
      <c r="Q109" s="847">
        <f>Q110-Q108</f>
        <v>0</v>
      </c>
      <c r="R109" s="129"/>
    </row>
    <row r="110" spans="1:18" x14ac:dyDescent="0.2">
      <c r="A110" s="570" t="s">
        <v>355</v>
      </c>
      <c r="B110" s="846">
        <f>Q71</f>
        <v>0</v>
      </c>
      <c r="C110" s="1319">
        <f>Q78</f>
        <v>0</v>
      </c>
      <c r="D110" s="1320"/>
      <c r="E110" s="1320"/>
      <c r="F110" s="1319">
        <f>Q80</f>
        <v>0</v>
      </c>
      <c r="G110" s="1320"/>
      <c r="H110" s="1320"/>
      <c r="I110" s="1319">
        <f>Q81</f>
        <v>0</v>
      </c>
      <c r="J110" s="1320"/>
      <c r="K110" s="1319">
        <f>Q82</f>
        <v>0</v>
      </c>
      <c r="L110" s="1320"/>
      <c r="M110" s="1319">
        <f>Q88+'Previous Payments'!I42</f>
        <v>0</v>
      </c>
      <c r="N110" s="1320"/>
      <c r="O110" s="1319">
        <f>Q89</f>
        <v>0</v>
      </c>
      <c r="P110" s="1320"/>
      <c r="Q110" s="847">
        <f>SUM(B110:O110)</f>
        <v>0</v>
      </c>
      <c r="R110" s="129"/>
    </row>
    <row r="111" spans="1:18" ht="15.75" thickBot="1" x14ac:dyDescent="0.25">
      <c r="A111" s="658" t="s">
        <v>342</v>
      </c>
      <c r="B111" s="848"/>
      <c r="C111" s="1328"/>
      <c r="D111" s="1329"/>
      <c r="E111" s="1329"/>
      <c r="F111" s="1330"/>
      <c r="G111" s="1331"/>
      <c r="H111" s="1332"/>
      <c r="I111" s="1333"/>
      <c r="J111" s="1332"/>
      <c r="K111" s="1333"/>
      <c r="L111" s="1332"/>
      <c r="M111" s="1333"/>
      <c r="N111" s="1332"/>
      <c r="O111" s="1333"/>
      <c r="P111" s="1331"/>
      <c r="Q111" s="849">
        <f>SUM(B111:O111)</f>
        <v>0</v>
      </c>
      <c r="R111" s="129"/>
    </row>
    <row r="112" spans="1:18" ht="16.5" thickTop="1" thickBot="1" x14ac:dyDescent="0.25"/>
    <row r="113" spans="1:17" ht="21" thickTop="1" x14ac:dyDescent="0.2">
      <c r="A113" s="659" t="s">
        <v>326</v>
      </c>
      <c r="B113" s="538"/>
      <c r="C113" s="538"/>
      <c r="D113" s="538"/>
      <c r="E113" s="538"/>
      <c r="F113" s="538"/>
      <c r="G113" s="538"/>
      <c r="H113" s="538"/>
      <c r="I113" s="538"/>
      <c r="J113" s="538"/>
      <c r="K113" s="538"/>
      <c r="L113" s="538"/>
      <c r="M113" s="538"/>
      <c r="N113" s="538"/>
      <c r="O113" s="538"/>
      <c r="P113" s="538"/>
      <c r="Q113" s="657"/>
    </row>
    <row r="114" spans="1:17" ht="18" x14ac:dyDescent="0.2">
      <c r="A114" s="660" t="s">
        <v>27</v>
      </c>
      <c r="B114" s="29"/>
      <c r="C114" s="29"/>
      <c r="D114" s="29"/>
      <c r="E114" s="29"/>
      <c r="F114" s="29"/>
      <c r="G114" s="29"/>
      <c r="H114" s="29"/>
      <c r="I114" s="29"/>
      <c r="J114" s="29"/>
      <c r="K114" s="29"/>
      <c r="L114" s="29"/>
      <c r="M114" s="29"/>
      <c r="N114" s="29"/>
      <c r="O114" s="29"/>
      <c r="P114" s="29"/>
      <c r="Q114" s="421"/>
    </row>
    <row r="115" spans="1:17" ht="18" x14ac:dyDescent="0.2">
      <c r="A115" s="136" t="s">
        <v>325</v>
      </c>
      <c r="B115" s="19"/>
      <c r="C115" s="20"/>
      <c r="D115" s="36"/>
      <c r="E115" s="36"/>
      <c r="F115" s="36"/>
      <c r="G115" s="36"/>
      <c r="H115" s="36"/>
      <c r="I115" s="37"/>
      <c r="J115" s="38"/>
      <c r="K115" s="25">
        <f>IF('Input Data'!E9="E",VLOOKUP($Q$19,SCALE_2012SE1,3),0)</f>
        <v>0</v>
      </c>
      <c r="L115" s="51" t="s">
        <v>121</v>
      </c>
      <c r="M115" s="39">
        <f>IF('Input Data'!E9="E",VLOOKUP($Q$19,SCALE_2012SE1,4),0)</f>
        <v>0.125</v>
      </c>
      <c r="N115" s="40" t="s">
        <v>1</v>
      </c>
      <c r="O115" s="41">
        <f>IF('Input Data'!E9="E",($Q$19-(VLOOKUP($Q$19,SCALE_2012SE1,1))),Q19)</f>
        <v>0</v>
      </c>
      <c r="P115" s="42" t="s">
        <v>3</v>
      </c>
      <c r="Q115" s="841">
        <f>IF('Input Data'!$H$48&gt;'Input Data'!$H$36,(K115+M115*O115),0)</f>
        <v>0</v>
      </c>
    </row>
    <row r="116" spans="1:17" ht="8.25" customHeight="1" x14ac:dyDescent="0.2">
      <c r="A116" s="44"/>
      <c r="B116" s="19"/>
      <c r="C116" s="20"/>
      <c r="D116" s="45"/>
      <c r="E116" s="45"/>
      <c r="F116" s="45"/>
      <c r="G116" s="45"/>
      <c r="H116" s="45"/>
      <c r="I116" s="20"/>
      <c r="J116" s="20"/>
      <c r="K116" s="25"/>
      <c r="L116" s="47"/>
      <c r="M116" s="48"/>
      <c r="N116" s="40"/>
      <c r="O116" s="25"/>
      <c r="P116" s="25"/>
      <c r="Q116" s="836"/>
    </row>
    <row r="117" spans="1:17" ht="20.25" customHeight="1" x14ac:dyDescent="0.2">
      <c r="A117" s="1389" t="s">
        <v>423</v>
      </c>
      <c r="B117" s="1396"/>
      <c r="C117" s="1396"/>
      <c r="D117" s="1396"/>
      <c r="E117" s="1391"/>
      <c r="F117" s="1391"/>
      <c r="G117" s="1391"/>
      <c r="H117" s="1391"/>
      <c r="I117" s="1391"/>
      <c r="J117" s="1397"/>
      <c r="K117" s="25">
        <f>IF('Input Data'!E9="E",VLOOKUP($J$20,SCALE_2012SE2,3),0)</f>
        <v>0</v>
      </c>
      <c r="L117" s="51" t="s">
        <v>121</v>
      </c>
      <c r="M117" s="39">
        <f>IF('Input Data'!E9="E",VLOOKUP($J$20,SCALE_2012SE2,4),0)</f>
        <v>0.05</v>
      </c>
      <c r="N117" s="40" t="s">
        <v>25</v>
      </c>
      <c r="O117" s="41">
        <f>IF('Input Data'!E9="E",($J$20-(VLOOKUP($J$20,SCALE_2012SE2,1))),J20)</f>
        <v>0</v>
      </c>
      <c r="P117" s="42" t="s">
        <v>3</v>
      </c>
      <c r="Q117" s="841">
        <f>IF('Input Data'!$H$50&gt;'Input Data'!$H$36,(K117+M117*O117),0)</f>
        <v>0</v>
      </c>
    </row>
    <row r="118" spans="1:17" ht="18.75" thickBot="1" x14ac:dyDescent="0.25">
      <c r="A118" s="10"/>
      <c r="B118" s="404"/>
      <c r="C118" s="404"/>
      <c r="D118" s="404"/>
      <c r="E118" s="404"/>
      <c r="F118" s="404"/>
      <c r="G118" s="404"/>
      <c r="H118" s="404"/>
      <c r="I118" s="49"/>
      <c r="J118" s="50"/>
      <c r="K118" s="25"/>
      <c r="L118" s="51"/>
      <c r="M118" s="29"/>
      <c r="N118" s="52" t="s">
        <v>145</v>
      </c>
      <c r="O118" s="41"/>
      <c r="P118" s="42"/>
      <c r="Q118" s="845">
        <f>SUM(Q115:Q117)</f>
        <v>0</v>
      </c>
    </row>
    <row r="119" spans="1:17" ht="9.75" customHeight="1" thickTop="1" thickBot="1" x14ac:dyDescent="0.25">
      <c r="A119" s="44"/>
      <c r="B119" s="19"/>
      <c r="C119" s="20"/>
      <c r="D119" s="45"/>
      <c r="E119" s="45"/>
      <c r="F119" s="45"/>
      <c r="G119" s="45"/>
      <c r="H119" s="45"/>
      <c r="I119" s="20"/>
      <c r="J119" s="20"/>
      <c r="K119" s="46"/>
      <c r="L119" s="25"/>
      <c r="M119" s="48"/>
      <c r="N119" s="40"/>
      <c r="O119" s="25"/>
      <c r="P119" s="25"/>
      <c r="Q119" s="43"/>
    </row>
    <row r="120" spans="1:17" x14ac:dyDescent="0.2">
      <c r="A120" s="1393" t="s">
        <v>176</v>
      </c>
      <c r="B120" s="1394"/>
      <c r="C120" s="1394"/>
      <c r="D120" s="300"/>
      <c r="E120" s="300"/>
      <c r="F120" s="300"/>
      <c r="G120" s="300"/>
      <c r="H120" s="300"/>
      <c r="I120" s="412"/>
      <c r="J120" s="302"/>
      <c r="K120" s="303">
        <f>IF('Input Data'!$F$31=1,0.05,IF('Input Data'!$F$31=2,Scales!$L$5,IF('Input Data'!$F$31=3,Scales!$L$6,IF('Input Data'!$F$31=4,Scales!$L$7,0.7))))</f>
        <v>0.05</v>
      </c>
      <c r="L120" s="304" t="s">
        <v>2</v>
      </c>
      <c r="M120" s="850">
        <f>'Input Data'!$H$39</f>
        <v>0</v>
      </c>
      <c r="N120" s="851" t="s">
        <v>25</v>
      </c>
      <c r="O120" s="852">
        <f>IF('Input Data'!$H$39&gt;0,$Q$115,0)</f>
        <v>0</v>
      </c>
      <c r="P120" s="306"/>
      <c r="Q120" s="827">
        <f>IF('Input Data'!$H$39&gt;0,IF('Input Data'!$D$33="N",(K120*M120/M121*O120),0),0)</f>
        <v>0</v>
      </c>
    </row>
    <row r="121" spans="1:17" x14ac:dyDescent="0.2">
      <c r="A121" s="1395"/>
      <c r="B121" s="1391"/>
      <c r="C121" s="1391"/>
      <c r="D121" s="19"/>
      <c r="E121" s="19"/>
      <c r="F121" s="19"/>
      <c r="G121" s="19"/>
      <c r="H121" s="19"/>
      <c r="I121" s="62"/>
      <c r="J121" s="45"/>
      <c r="K121" s="49"/>
      <c r="L121" s="25"/>
      <c r="M121" s="853">
        <f>IF('Input Data'!$H$39&gt;0,'Input Data'!$H$48,0)</f>
        <v>0</v>
      </c>
      <c r="N121" s="854"/>
      <c r="O121" s="855"/>
      <c r="P121" s="46"/>
      <c r="Q121" s="828"/>
    </row>
    <row r="122" spans="1:17" ht="8.25" customHeight="1" x14ac:dyDescent="0.2">
      <c r="A122" s="63"/>
      <c r="B122" s="64"/>
      <c r="C122" s="19"/>
      <c r="D122" s="19"/>
      <c r="E122" s="19"/>
      <c r="F122" s="19"/>
      <c r="G122" s="19"/>
      <c r="H122" s="19"/>
      <c r="I122" s="65"/>
      <c r="J122" s="50"/>
      <c r="K122" s="66"/>
      <c r="L122" s="67"/>
      <c r="M122" s="856"/>
      <c r="N122" s="857"/>
      <c r="O122" s="856"/>
      <c r="P122" s="67"/>
      <c r="Q122" s="829"/>
    </row>
    <row r="123" spans="1:17" x14ac:dyDescent="0.2">
      <c r="A123" s="1385" t="s">
        <v>132</v>
      </c>
      <c r="B123" s="1386"/>
      <c r="C123" s="1386"/>
      <c r="D123" s="1386"/>
      <c r="E123" s="9"/>
      <c r="F123" s="9"/>
      <c r="G123" s="9"/>
      <c r="H123" s="9"/>
      <c r="I123" s="65">
        <f>IF('Input Data'!H40&gt;0,0.25,0)</f>
        <v>0</v>
      </c>
      <c r="J123" s="36" t="s">
        <v>1</v>
      </c>
      <c r="K123" s="49">
        <f>IF('Input Data'!$F$31=1,0.05,IF('Input Data'!$F$31=2,Scales!$L$5,IF('Input Data'!$F$31=3,Scales!$L$6,IF('Input Data'!$F$31=4,Scales!$L$7,0.7))))</f>
        <v>0.05</v>
      </c>
      <c r="L123" s="42" t="s">
        <v>2</v>
      </c>
      <c r="M123" s="855">
        <f>'Input Data'!$H$40</f>
        <v>0</v>
      </c>
      <c r="N123" s="854" t="s">
        <v>25</v>
      </c>
      <c r="O123" s="855">
        <f>IF('Input Data'!$H$40&gt;0,$Q$115,0)</f>
        <v>0</v>
      </c>
      <c r="P123" s="67"/>
      <c r="Q123" s="828">
        <f>IF('Input Data'!$H$40&gt;0,IF('Input Data'!$D$33="N",(I123*K123*M123/M124*O123),0),0)</f>
        <v>0</v>
      </c>
    </row>
    <row r="124" spans="1:17" x14ac:dyDescent="0.2">
      <c r="A124" s="1388"/>
      <c r="B124" s="1387"/>
      <c r="C124" s="1387"/>
      <c r="D124" s="1387"/>
      <c r="E124" s="4"/>
      <c r="F124" s="4"/>
      <c r="G124" s="4"/>
      <c r="H124" s="4"/>
      <c r="I124" s="65"/>
      <c r="J124" s="50"/>
      <c r="K124" s="66"/>
      <c r="L124" s="67"/>
      <c r="M124" s="858">
        <f>IF('Input Data'!$H$40&gt;0,'Input Data'!$H$48,0)</f>
        <v>0</v>
      </c>
      <c r="N124" s="857"/>
      <c r="O124" s="856"/>
      <c r="P124" s="67"/>
      <c r="Q124" s="829"/>
    </row>
    <row r="125" spans="1:17" ht="8.25" customHeight="1" x14ac:dyDescent="0.2">
      <c r="A125" s="5"/>
      <c r="B125" s="4"/>
      <c r="C125" s="4"/>
      <c r="D125" s="4"/>
      <c r="E125" s="4"/>
      <c r="F125" s="4"/>
      <c r="G125" s="4"/>
      <c r="H125" s="4"/>
      <c r="I125" s="65"/>
      <c r="J125" s="50"/>
      <c r="K125" s="66"/>
      <c r="L125" s="67"/>
      <c r="M125" s="856"/>
      <c r="N125" s="857"/>
      <c r="O125" s="856"/>
      <c r="P125" s="67"/>
      <c r="Q125" s="829"/>
    </row>
    <row r="126" spans="1:17" x14ac:dyDescent="0.2">
      <c r="A126" s="1389" t="s">
        <v>177</v>
      </c>
      <c r="B126" s="1390"/>
      <c r="C126" s="1391"/>
      <c r="D126" s="1391"/>
      <c r="E126" s="405"/>
      <c r="F126" s="405"/>
      <c r="G126" s="405"/>
      <c r="H126" s="405"/>
      <c r="I126" s="65">
        <f>IF('Input Data'!$H$41&gt;0,1.25,0)</f>
        <v>0</v>
      </c>
      <c r="J126" s="36" t="s">
        <v>1</v>
      </c>
      <c r="K126" s="49">
        <f>IF('Input Data'!$F$31=1,0.05,IF('Input Data'!$F$31=2,Scales!$L$5,IF('Input Data'!$F$31=3,Scales!$L$6,IF('Input Data'!$F$31=4,Scales!$L$7,0.7))))</f>
        <v>0.05</v>
      </c>
      <c r="L126" s="42" t="s">
        <v>2</v>
      </c>
      <c r="M126" s="855">
        <f>'Input Data'!$H$41</f>
        <v>0</v>
      </c>
      <c r="N126" s="854" t="s">
        <v>25</v>
      </c>
      <c r="O126" s="855">
        <f>IF('Input Data'!$H$41&gt;0,$Q$115,0)</f>
        <v>0</v>
      </c>
      <c r="P126" s="25"/>
      <c r="Q126" s="828">
        <f>IF('Input Data'!$H$41&gt;0,IF('Input Data'!$D$33="N",(I126*K126*M126/M127*O126),0),0)</f>
        <v>0</v>
      </c>
    </row>
    <row r="127" spans="1:17" x14ac:dyDescent="0.2">
      <c r="A127" s="1392"/>
      <c r="B127" s="1322"/>
      <c r="C127" s="1322"/>
      <c r="D127" s="1322"/>
      <c r="E127" s="19"/>
      <c r="F127" s="19"/>
      <c r="G127" s="19"/>
      <c r="H127" s="19"/>
      <c r="I127" s="65"/>
      <c r="J127" s="50"/>
      <c r="K127" s="66"/>
      <c r="L127" s="67"/>
      <c r="M127" s="858">
        <f>IF('Input Data'!$H$41&gt;0,'Input Data'!$H$48,0)</f>
        <v>0</v>
      </c>
      <c r="N127" s="857"/>
      <c r="O127" s="856"/>
      <c r="P127" s="67"/>
      <c r="Q127" s="829"/>
    </row>
    <row r="128" spans="1:17" ht="10.5" customHeight="1" x14ac:dyDescent="0.2">
      <c r="A128" s="63"/>
      <c r="B128" s="64"/>
      <c r="C128" s="19"/>
      <c r="D128" s="19"/>
      <c r="E128" s="19"/>
      <c r="F128" s="19"/>
      <c r="G128" s="19"/>
      <c r="H128" s="19"/>
      <c r="I128" s="65"/>
      <c r="J128" s="50"/>
      <c r="K128" s="66"/>
      <c r="L128" s="67"/>
      <c r="M128" s="856"/>
      <c r="N128" s="857"/>
      <c r="O128" s="856"/>
      <c r="P128" s="67"/>
      <c r="Q128" s="829"/>
    </row>
    <row r="129" spans="1:17" x14ac:dyDescent="0.2">
      <c r="A129" s="1389" t="s">
        <v>178</v>
      </c>
      <c r="B129" s="1390"/>
      <c r="C129" s="1391"/>
      <c r="D129" s="1391"/>
      <c r="E129" s="1322"/>
      <c r="F129" s="1322"/>
      <c r="G129" s="405"/>
      <c r="H129" s="405"/>
      <c r="I129" s="69">
        <f>IF('Input Data'!$H$42&gt;0,0.33,0)</f>
        <v>0</v>
      </c>
      <c r="J129" s="36" t="s">
        <v>1</v>
      </c>
      <c r="K129" s="49">
        <f>IF('Input Data'!$F$31=1,0.05,IF('Input Data'!$F$31=2,Scales!$L$5,IF('Input Data'!$F$31=3,Scales!$L$6,IF('Input Data'!$F$31=4,Scales!$L$7,0.7))))</f>
        <v>0.05</v>
      </c>
      <c r="L129" s="42" t="s">
        <v>2</v>
      </c>
      <c r="M129" s="855">
        <f>'Input Data'!$H$42</f>
        <v>0</v>
      </c>
      <c r="N129" s="854" t="s">
        <v>25</v>
      </c>
      <c r="O129" s="855">
        <f>IF('Input Data'!$H$42&gt;0,$Q$115,0)</f>
        <v>0</v>
      </c>
      <c r="P129" s="25"/>
      <c r="Q129" s="828">
        <f>IF('Input Data'!$H$42&gt;0,IF('Input Data'!$D$33="N",(I129*K129*M129/M130*O129),0),0)</f>
        <v>0</v>
      </c>
    </row>
    <row r="130" spans="1:17" x14ac:dyDescent="0.2">
      <c r="A130" s="1392"/>
      <c r="B130" s="1322"/>
      <c r="C130" s="1322"/>
      <c r="D130" s="1322"/>
      <c r="E130" s="1322"/>
      <c r="F130" s="1322"/>
      <c r="G130" s="19"/>
      <c r="H130" s="19"/>
      <c r="I130" s="65"/>
      <c r="J130" s="50"/>
      <c r="K130" s="49"/>
      <c r="L130" s="42"/>
      <c r="M130" s="859">
        <f>IF('Input Data'!$H$42&gt;0,'Input Data'!$H$48,0)</f>
        <v>0</v>
      </c>
      <c r="N130" s="857"/>
      <c r="O130" s="860"/>
      <c r="P130" s="67"/>
      <c r="Q130" s="829"/>
    </row>
    <row r="131" spans="1:17" ht="9.75" customHeight="1" x14ac:dyDescent="0.2">
      <c r="A131" s="414"/>
      <c r="B131" s="29"/>
      <c r="C131" s="29"/>
      <c r="D131" s="29"/>
      <c r="E131" s="29"/>
      <c r="F131" s="29"/>
      <c r="G131" s="29"/>
      <c r="H131" s="29"/>
      <c r="I131" s="29"/>
      <c r="J131" s="29"/>
      <c r="K131" s="29"/>
      <c r="L131" s="29"/>
      <c r="M131" s="861"/>
      <c r="N131" s="861"/>
      <c r="O131" s="861"/>
      <c r="P131" s="29"/>
      <c r="Q131" s="830"/>
    </row>
    <row r="132" spans="1:17" x14ac:dyDescent="0.2">
      <c r="A132" s="1385" t="s">
        <v>147</v>
      </c>
      <c r="B132" s="1386"/>
      <c r="C132" s="1386"/>
      <c r="D132" s="1386"/>
      <c r="E132" s="1387"/>
      <c r="F132" s="415"/>
      <c r="G132" s="65">
        <f>IF('Input Data'!$H$43&gt;0,0.33,0)</f>
        <v>0</v>
      </c>
      <c r="H132" s="132" t="s">
        <v>1</v>
      </c>
      <c r="I132" s="65">
        <f>IF('Input Data'!$H$43&gt;0,1.25,0)</f>
        <v>0</v>
      </c>
      <c r="J132" s="36" t="s">
        <v>1</v>
      </c>
      <c r="K132" s="49">
        <f>IF('Input Data'!$F$31=1,0.05,IF('Input Data'!$F$31=2,Scales!$L$5,IF('Input Data'!$F$31=3,Scales!$L$6,IF('Input Data'!$F$31=4,Scales!$L$7,0.7))))</f>
        <v>0.05</v>
      </c>
      <c r="L132" s="42" t="s">
        <v>2</v>
      </c>
      <c r="M132" s="855">
        <f>'Input Data'!$H$43</f>
        <v>0</v>
      </c>
      <c r="N132" s="854" t="s">
        <v>25</v>
      </c>
      <c r="O132" s="855">
        <f>IF('Input Data'!$H$43&gt;0,$Q$115,0)</f>
        <v>0</v>
      </c>
      <c r="P132" s="67"/>
      <c r="Q132" s="828">
        <f>IF('Input Data'!$H$43&gt;0,IF('Input Data'!$D$33="N",(G132*I132*K132*M132/M133*O132),0),0)</f>
        <v>0</v>
      </c>
    </row>
    <row r="133" spans="1:17" x14ac:dyDescent="0.2">
      <c r="A133" s="1388"/>
      <c r="B133" s="1387"/>
      <c r="C133" s="1387"/>
      <c r="D133" s="1387"/>
      <c r="E133" s="1387"/>
      <c r="F133" s="415"/>
      <c r="G133" s="415"/>
      <c r="H133" s="415"/>
      <c r="I133" s="65"/>
      <c r="J133" s="50"/>
      <c r="K133" s="49"/>
      <c r="L133" s="67"/>
      <c r="M133" s="858">
        <f>IF('Input Data'!$H$43&gt;0,'Input Data'!$H$48,0)</f>
        <v>0</v>
      </c>
      <c r="N133" s="857"/>
      <c r="O133" s="856"/>
      <c r="P133" s="67"/>
      <c r="Q133" s="829"/>
    </row>
    <row r="134" spans="1:17" ht="8.25" customHeight="1" x14ac:dyDescent="0.2">
      <c r="A134" s="6"/>
      <c r="B134" s="9"/>
      <c r="C134" s="9"/>
      <c r="D134" s="9"/>
      <c r="E134" s="415"/>
      <c r="F134" s="415"/>
      <c r="G134" s="415"/>
      <c r="H134" s="415"/>
      <c r="I134" s="65"/>
      <c r="J134" s="50"/>
      <c r="K134" s="66"/>
      <c r="L134" s="67"/>
      <c r="M134" s="856"/>
      <c r="N134" s="857"/>
      <c r="O134" s="856"/>
      <c r="P134" s="67"/>
      <c r="Q134" s="829"/>
    </row>
    <row r="135" spans="1:17" x14ac:dyDescent="0.2">
      <c r="A135" s="1385" t="s">
        <v>148</v>
      </c>
      <c r="B135" s="1386"/>
      <c r="C135" s="1386"/>
      <c r="D135" s="1386"/>
      <c r="E135" s="1387"/>
      <c r="F135" s="415"/>
      <c r="G135" s="65">
        <f>IF('Input Data'!$H$44&gt;0,0.33,0)</f>
        <v>0</v>
      </c>
      <c r="H135" s="132" t="s">
        <v>1</v>
      </c>
      <c r="I135" s="70">
        <f>IF('Input Data'!$H$44&gt;0,0.25,0)</f>
        <v>0</v>
      </c>
      <c r="J135" s="36" t="s">
        <v>1</v>
      </c>
      <c r="K135" s="49">
        <f>IF('Input Data'!$F$31=1,0.05,IF('Input Data'!$F$31=2,Scales!$L$5,IF('Input Data'!$F$31=3,Scales!$L$6,IF('Input Data'!$F$31=4,Scales!$L$7,0.7))))</f>
        <v>0.05</v>
      </c>
      <c r="L135" s="42" t="s">
        <v>2</v>
      </c>
      <c r="M135" s="855">
        <f>'Input Data'!$H$44</f>
        <v>0</v>
      </c>
      <c r="N135" s="854" t="s">
        <v>25</v>
      </c>
      <c r="O135" s="855">
        <f>IF('Input Data'!$H$44&gt;0,$Q$115,0)</f>
        <v>0</v>
      </c>
      <c r="P135" s="67"/>
      <c r="Q135" s="828">
        <f>IF('Input Data'!$H$44&gt;0,IF('Input Data'!$D$33="N",(G135*I135*K135*M135/M136*O135),0),0)</f>
        <v>0</v>
      </c>
    </row>
    <row r="136" spans="1:17" x14ac:dyDescent="0.2">
      <c r="A136" s="1388"/>
      <c r="B136" s="1387"/>
      <c r="C136" s="1387"/>
      <c r="D136" s="1387"/>
      <c r="E136" s="1387"/>
      <c r="F136" s="415"/>
      <c r="G136" s="415"/>
      <c r="H136" s="415"/>
      <c r="I136" s="65"/>
      <c r="J136" s="50"/>
      <c r="K136" s="49"/>
      <c r="L136" s="67"/>
      <c r="M136" s="858">
        <f>IF('Input Data'!$H$44&gt;0,'Input Data'!$H$48,0)</f>
        <v>0</v>
      </c>
      <c r="N136" s="857"/>
      <c r="O136" s="856"/>
      <c r="P136" s="67"/>
      <c r="Q136" s="829"/>
    </row>
    <row r="137" spans="1:17" ht="7.5" customHeight="1" x14ac:dyDescent="0.2">
      <c r="A137" s="6"/>
      <c r="B137" s="9"/>
      <c r="C137" s="9"/>
      <c r="D137" s="9"/>
      <c r="E137" s="415"/>
      <c r="F137" s="415"/>
      <c r="G137" s="415"/>
      <c r="H137" s="415"/>
      <c r="I137" s="65"/>
      <c r="J137" s="50"/>
      <c r="K137" s="66"/>
      <c r="L137" s="67"/>
      <c r="M137" s="856"/>
      <c r="N137" s="857"/>
      <c r="O137" s="856"/>
      <c r="P137" s="67"/>
      <c r="Q137" s="829"/>
    </row>
    <row r="138" spans="1:17" x14ac:dyDescent="0.2">
      <c r="A138" s="1385" t="s">
        <v>130</v>
      </c>
      <c r="B138" s="1386"/>
      <c r="C138" s="1386"/>
      <c r="D138" s="1386"/>
      <c r="E138" s="415"/>
      <c r="F138" s="415"/>
      <c r="G138" s="65">
        <f>IF('Input Data'!$H$45&gt;0,1.25,0)</f>
        <v>0</v>
      </c>
      <c r="H138" s="132" t="s">
        <v>1</v>
      </c>
      <c r="I138" s="70">
        <f>IF('Input Data'!$H$45&gt;0,0.25,0)</f>
        <v>0</v>
      </c>
      <c r="J138" s="36" t="s">
        <v>1</v>
      </c>
      <c r="K138" s="49">
        <f>IF('Input Data'!$F$31=1,0.05,IF('Input Data'!$F$31=2,Scales!$L$5,IF('Input Data'!$F$31=3,Scales!$L$6,IF('Input Data'!$F$31=4,Scales!$L$7,0.7))))</f>
        <v>0.05</v>
      </c>
      <c r="L138" s="42" t="s">
        <v>2</v>
      </c>
      <c r="M138" s="855">
        <f>'Input Data'!$H$45</f>
        <v>0</v>
      </c>
      <c r="N138" s="854" t="s">
        <v>25</v>
      </c>
      <c r="O138" s="855">
        <f>IF('Input Data'!$H$45&gt;0,$Q$115,0)</f>
        <v>0</v>
      </c>
      <c r="P138" s="67"/>
      <c r="Q138" s="828">
        <f>IF('Input Data'!$H$45&gt;0,IF('Input Data'!$D$33="N",(G138*I138*K138*M138/M139*O138),0),0)</f>
        <v>0</v>
      </c>
    </row>
    <row r="139" spans="1:17" x14ac:dyDescent="0.2">
      <c r="A139" s="1388"/>
      <c r="B139" s="1387"/>
      <c r="C139" s="1387"/>
      <c r="D139" s="1387"/>
      <c r="E139" s="415"/>
      <c r="F139" s="415"/>
      <c r="G139" s="415"/>
      <c r="H139" s="415"/>
      <c r="I139" s="65"/>
      <c r="J139" s="50"/>
      <c r="K139" s="49"/>
      <c r="L139" s="67"/>
      <c r="M139" s="858">
        <f>IF('Input Data'!$H$45&gt;0,'Input Data'!$H$48,0)</f>
        <v>0</v>
      </c>
      <c r="N139" s="857"/>
      <c r="O139" s="856"/>
      <c r="P139" s="67"/>
      <c r="Q139" s="829"/>
    </row>
    <row r="140" spans="1:17" ht="9.75" customHeight="1" x14ac:dyDescent="0.2">
      <c r="A140" s="6"/>
      <c r="B140" s="9"/>
      <c r="C140" s="9"/>
      <c r="D140" s="9"/>
      <c r="E140" s="415"/>
      <c r="F140" s="415"/>
      <c r="G140" s="415"/>
      <c r="H140" s="415"/>
      <c r="I140" s="65"/>
      <c r="J140" s="50"/>
      <c r="K140" s="66"/>
      <c r="L140" s="67"/>
      <c r="M140" s="856"/>
      <c r="N140" s="857"/>
      <c r="O140" s="856"/>
      <c r="P140" s="67"/>
      <c r="Q140" s="829"/>
    </row>
    <row r="141" spans="1:17" x14ac:dyDescent="0.2">
      <c r="A141" s="1385" t="s">
        <v>149</v>
      </c>
      <c r="B141" s="1386"/>
      <c r="C141" s="1386"/>
      <c r="D141" s="1386"/>
      <c r="E141" s="65">
        <f>IF('Input Data'!$H$46&gt;0,1.25,0)</f>
        <v>0</v>
      </c>
      <c r="F141" s="132" t="s">
        <v>1</v>
      </c>
      <c r="G141" s="65">
        <f>IF('Input Data'!$H$46&gt;0,0.33,0)</f>
        <v>0</v>
      </c>
      <c r="H141" s="132" t="s">
        <v>1</v>
      </c>
      <c r="I141" s="70">
        <f>IF('Input Data'!$H$46&gt;0,0.25,0)</f>
        <v>0</v>
      </c>
      <c r="J141" s="36" t="s">
        <v>1</v>
      </c>
      <c r="K141" s="49">
        <f>IF('Input Data'!$F$31=1,0.05,IF('Input Data'!$F$31=2,Scales!$L$5,IF('Input Data'!$F$31=3,Scales!$L$6,IF('Input Data'!$F$31=4,Scales!$L$7,0.7))))</f>
        <v>0.05</v>
      </c>
      <c r="L141" s="42" t="s">
        <v>2</v>
      </c>
      <c r="M141" s="855">
        <f>'Input Data'!$H$46</f>
        <v>0</v>
      </c>
      <c r="N141" s="854" t="s">
        <v>25</v>
      </c>
      <c r="O141" s="855">
        <f>IF('Input Data'!$H$46&gt;0,$Q$115,0)</f>
        <v>0</v>
      </c>
      <c r="P141" s="67"/>
      <c r="Q141" s="828">
        <f>IF('Input Data'!$H$46&gt;0,IF('Input Data'!$D$33="N",(E141*G141*I141*K141*M141/M142*O141),0),0)</f>
        <v>0</v>
      </c>
    </row>
    <row r="142" spans="1:17" ht="22.5" customHeight="1" x14ac:dyDescent="0.2">
      <c r="A142" s="1388"/>
      <c r="B142" s="1387"/>
      <c r="C142" s="1387"/>
      <c r="D142" s="1387"/>
      <c r="E142" s="413"/>
      <c r="F142" s="413"/>
      <c r="G142" s="413"/>
      <c r="H142" s="413"/>
      <c r="I142" s="65"/>
      <c r="J142" s="50"/>
      <c r="K142" s="49"/>
      <c r="L142" s="67"/>
      <c r="M142" s="858">
        <f>IF('Input Data'!$H$46&gt;0,'Input Data'!$H$48,0)</f>
        <v>0</v>
      </c>
      <c r="N142" s="857"/>
      <c r="O142" s="856"/>
      <c r="P142" s="67"/>
      <c r="Q142" s="831"/>
    </row>
    <row r="143" spans="1:17" x14ac:dyDescent="0.2">
      <c r="A143" s="5"/>
      <c r="B143" s="413"/>
      <c r="C143" s="413"/>
      <c r="D143" s="413"/>
      <c r="E143" s="413"/>
      <c r="F143" s="413"/>
      <c r="G143" s="413"/>
      <c r="H143" s="413"/>
      <c r="I143" s="65"/>
      <c r="J143" s="50"/>
      <c r="K143" s="49"/>
      <c r="L143" s="67"/>
      <c r="M143" s="67"/>
      <c r="N143" s="68"/>
      <c r="O143" s="135" t="s">
        <v>167</v>
      </c>
      <c r="P143" s="67"/>
      <c r="Q143" s="832">
        <f>IF(Q19=0,0,SUM(Q120:Q142))</f>
        <v>0</v>
      </c>
    </row>
    <row r="144" spans="1:17" ht="15.75" thickBot="1" x14ac:dyDescent="0.25">
      <c r="A144" s="63"/>
      <c r="B144" s="64"/>
      <c r="C144" s="19"/>
      <c r="D144" s="23"/>
      <c r="E144" s="29"/>
      <c r="F144" s="19"/>
      <c r="G144" s="19"/>
      <c r="H144" s="19"/>
      <c r="I144" s="65"/>
      <c r="J144" s="50"/>
      <c r="K144" s="66"/>
      <c r="L144" s="67"/>
      <c r="M144" s="67"/>
      <c r="N144" s="68"/>
      <c r="O144" s="67"/>
      <c r="P144" s="67"/>
      <c r="Q144" s="833"/>
    </row>
    <row r="145" spans="1:17" ht="11.25" customHeight="1" x14ac:dyDescent="0.2">
      <c r="A145" s="1402"/>
      <c r="B145" s="1394"/>
      <c r="C145" s="1394"/>
      <c r="D145" s="1394"/>
      <c r="E145" s="1394"/>
      <c r="F145" s="1394"/>
      <c r="G145" s="1394"/>
      <c r="H145" s="1394"/>
      <c r="I145" s="1394"/>
      <c r="J145" s="1394"/>
      <c r="K145" s="1394"/>
      <c r="L145" s="466"/>
      <c r="M145" s="466"/>
      <c r="N145" s="305"/>
      <c r="O145" s="306"/>
      <c r="P145" s="304"/>
      <c r="Q145" s="834"/>
    </row>
    <row r="146" spans="1:17" x14ac:dyDescent="0.2">
      <c r="A146" s="485" t="s">
        <v>133</v>
      </c>
      <c r="B146" s="19"/>
      <c r="C146" s="49"/>
      <c r="D146" s="19"/>
      <c r="E146" s="19"/>
      <c r="F146" s="19"/>
      <c r="G146" s="19"/>
      <c r="H146" s="19"/>
      <c r="I146" s="29"/>
      <c r="J146" s="36"/>
      <c r="K146" s="49">
        <f>IF('Input Data'!$F$31=1,0.05,IF('Input Data'!$F$31=2,Scales!$L$5,IF('Input Data'!$F$31=3,Scales!$L$6,IF('Input Data'!$F$31=4,Scales!$L$7,0.7))))</f>
        <v>0.05</v>
      </c>
      <c r="L146" s="42" t="s">
        <v>2</v>
      </c>
      <c r="M146" s="862">
        <f>IF('Input Data'!$H$50&gt;0,'Input Data'!H$50,0)</f>
        <v>0</v>
      </c>
      <c r="N146" s="854" t="s">
        <v>25</v>
      </c>
      <c r="O146" s="855">
        <f>$Q$117</f>
        <v>0</v>
      </c>
      <c r="P146" s="46"/>
      <c r="Q146" s="835">
        <f>IF('Input Data'!D33="Y",0,IF(J20=0,0,K146*M146/M147*O146))</f>
        <v>0</v>
      </c>
    </row>
    <row r="147" spans="1:17" x14ac:dyDescent="0.2">
      <c r="A147" s="44"/>
      <c r="B147" s="19"/>
      <c r="C147" s="19"/>
      <c r="D147" s="19"/>
      <c r="E147" s="19"/>
      <c r="F147" s="19"/>
      <c r="G147" s="19"/>
      <c r="H147" s="19"/>
      <c r="I147" s="29"/>
      <c r="J147" s="36"/>
      <c r="K147" s="49"/>
      <c r="L147" s="42"/>
      <c r="M147" s="855">
        <f>IF('Input Data'!$H$50&gt;0,'Input Data'!H$50,0)</f>
        <v>0</v>
      </c>
      <c r="N147" s="854"/>
      <c r="O147" s="855"/>
      <c r="P147" s="46"/>
      <c r="Q147" s="836"/>
    </row>
    <row r="148" spans="1:17" ht="7.5" customHeight="1" thickBot="1" x14ac:dyDescent="0.25">
      <c r="A148" s="123"/>
      <c r="B148" s="12"/>
      <c r="C148" s="85"/>
      <c r="D148" s="85"/>
      <c r="E148" s="85"/>
      <c r="F148" s="85"/>
      <c r="G148" s="85"/>
      <c r="H148" s="85"/>
      <c r="I148" s="133"/>
      <c r="J148" s="84"/>
      <c r="K148" s="86"/>
      <c r="L148" s="13"/>
      <c r="M148" s="13"/>
      <c r="N148" s="79"/>
      <c r="O148" s="13"/>
      <c r="P148" s="13"/>
      <c r="Q148" s="837"/>
    </row>
    <row r="149" spans="1:17" ht="9" customHeight="1" x14ac:dyDescent="0.2">
      <c r="A149" s="63"/>
      <c r="B149" s="64"/>
      <c r="C149" s="19"/>
      <c r="D149" s="19"/>
      <c r="E149" s="19"/>
      <c r="F149" s="19"/>
      <c r="G149" s="19"/>
      <c r="H149" s="19"/>
      <c r="I149" s="65"/>
      <c r="J149" s="50"/>
      <c r="K149" s="66"/>
      <c r="L149" s="67"/>
      <c r="M149" s="67"/>
      <c r="N149" s="68"/>
      <c r="O149" s="67"/>
      <c r="P149" s="67"/>
      <c r="Q149" s="818"/>
    </row>
    <row r="150" spans="1:17" x14ac:dyDescent="0.2">
      <c r="A150" s="16" t="s">
        <v>201</v>
      </c>
      <c r="B150" s="64"/>
      <c r="C150" s="19"/>
      <c r="D150" s="19"/>
      <c r="E150" s="19"/>
      <c r="F150" s="19"/>
      <c r="G150" s="19"/>
      <c r="H150" s="19"/>
      <c r="I150" s="19"/>
      <c r="J150" s="19"/>
      <c r="K150" s="66">
        <f>IF('Input Data'!$E$34="y",0.01,0)</f>
        <v>0</v>
      </c>
      <c r="L150" s="40" t="s">
        <v>1</v>
      </c>
      <c r="M150" s="49">
        <f>IF('Input Data'!$F$31=1,0.05,IF('Input Data'!$F$31=2,Scales!$L$5,IF('Input Data'!$F$31=3,Scales!$L$6,IF('Input Data'!$F$31=4,Scales!$L$7,0.7))))</f>
        <v>0.05</v>
      </c>
      <c r="N150" s="40" t="s">
        <v>2</v>
      </c>
      <c r="O150" s="856">
        <f>IF('Input Data'!D33="N",IF('Input Data'!E34="y",$Q$20,0),0)</f>
        <v>0</v>
      </c>
      <c r="P150" s="42" t="s">
        <v>3</v>
      </c>
      <c r="Q150" s="822">
        <f>IF('Input Data'!$D$34="Y",0,IF($Q$20=0,0,(K150*M150*O150)))</f>
        <v>0</v>
      </c>
    </row>
    <row r="151" spans="1:17" ht="15.75" thickBot="1" x14ac:dyDescent="0.25">
      <c r="A151" s="11"/>
      <c r="B151" s="12"/>
      <c r="C151" s="133"/>
      <c r="D151" s="134"/>
      <c r="E151" s="134"/>
      <c r="F151" s="134"/>
      <c r="G151" s="134"/>
      <c r="H151" s="134"/>
      <c r="I151" s="164"/>
      <c r="J151" s="165"/>
      <c r="K151" s="13"/>
      <c r="L151" s="166"/>
      <c r="M151" s="13"/>
      <c r="N151" s="79"/>
      <c r="O151" s="863"/>
      <c r="P151" s="80"/>
      <c r="Q151" s="837"/>
    </row>
    <row r="152" spans="1:17" x14ac:dyDescent="0.2">
      <c r="A152" s="17"/>
      <c r="B152" s="64"/>
      <c r="C152" s="65"/>
      <c r="D152" s="36"/>
      <c r="E152" s="36"/>
      <c r="F152" s="36"/>
      <c r="G152" s="36"/>
      <c r="H152" s="36"/>
      <c r="I152" s="37"/>
      <c r="J152" s="38"/>
      <c r="K152" s="67"/>
      <c r="L152" s="484"/>
      <c r="M152" s="67"/>
      <c r="N152" s="68"/>
      <c r="O152" s="856"/>
      <c r="P152" s="42"/>
      <c r="Q152" s="818"/>
    </row>
    <row r="153" spans="1:17" x14ac:dyDescent="0.2">
      <c r="A153" s="487" t="s">
        <v>332</v>
      </c>
      <c r="B153" s="64"/>
      <c r="C153" s="65"/>
      <c r="D153" s="36"/>
      <c r="E153" s="36"/>
      <c r="F153" s="36"/>
      <c r="G153" s="36"/>
      <c r="H153" s="36"/>
      <c r="I153" s="37"/>
      <c r="J153" s="38"/>
      <c r="K153" s="67"/>
      <c r="L153" s="484"/>
      <c r="M153" s="872">
        <v>1.25</v>
      </c>
      <c r="N153" s="68" t="s">
        <v>25</v>
      </c>
      <c r="O153" s="856">
        <f>'WTW Calculations'!S46</f>
        <v>0</v>
      </c>
      <c r="P153" s="42"/>
      <c r="Q153" s="838">
        <f>M153*O153</f>
        <v>0</v>
      </c>
    </row>
    <row r="154" spans="1:17" ht="15.75" thickBot="1" x14ac:dyDescent="0.25">
      <c r="A154" s="11"/>
      <c r="B154" s="12"/>
      <c r="C154" s="133"/>
      <c r="D154" s="134"/>
      <c r="E154" s="134"/>
      <c r="F154" s="134"/>
      <c r="G154" s="134"/>
      <c r="H154" s="134"/>
      <c r="I154" s="164"/>
      <c r="J154" s="165"/>
      <c r="K154" s="13"/>
      <c r="L154" s="166"/>
      <c r="M154" s="13"/>
      <c r="N154" s="79"/>
      <c r="O154" s="13"/>
      <c r="P154" s="80"/>
      <c r="Q154" s="837"/>
    </row>
    <row r="155" spans="1:17" ht="16.5" thickBot="1" x14ac:dyDescent="0.25">
      <c r="A155" s="454"/>
      <c r="B155" s="455"/>
      <c r="C155" s="456"/>
      <c r="D155" s="455"/>
      <c r="E155" s="455"/>
      <c r="F155" s="455"/>
      <c r="G155" s="457"/>
      <c r="H155" s="455"/>
      <c r="I155" s="455"/>
      <c r="J155" s="455"/>
      <c r="K155" s="458"/>
      <c r="L155" s="458"/>
      <c r="M155" s="456"/>
      <c r="N155" s="456"/>
      <c r="O155" s="456"/>
      <c r="P155" s="453" t="s">
        <v>319</v>
      </c>
      <c r="Q155" s="839">
        <f>IF(Q19=0,0,Q143+Q146+Q150+Q153)</f>
        <v>0</v>
      </c>
    </row>
    <row r="156" spans="1:17" ht="18.75" thickTop="1" x14ac:dyDescent="0.2">
      <c r="A156" s="82" t="s">
        <v>318</v>
      </c>
      <c r="B156" s="64"/>
      <c r="C156" s="64"/>
      <c r="D156" s="64"/>
      <c r="E156" s="64"/>
      <c r="F156" s="64"/>
      <c r="G156" s="64"/>
      <c r="H156" s="64"/>
      <c r="I156" s="64"/>
      <c r="J156" s="64"/>
      <c r="K156" s="64"/>
      <c r="L156" s="64"/>
      <c r="M156" s="64"/>
      <c r="N156" s="50"/>
      <c r="O156" s="83"/>
      <c r="P156" s="64"/>
      <c r="Q156" s="818"/>
    </row>
    <row r="157" spans="1:17" x14ac:dyDescent="0.2">
      <c r="A157" s="1401" t="s">
        <v>176</v>
      </c>
      <c r="B157" s="1391"/>
      <c r="C157" s="1391"/>
      <c r="D157" s="36"/>
      <c r="E157" s="36"/>
      <c r="F157" s="36"/>
      <c r="G157" s="36"/>
      <c r="H157" s="36"/>
      <c r="I157" s="19"/>
      <c r="J157" s="19"/>
      <c r="K157" s="49">
        <f>IF('Input Data'!$F$31&lt;5,0,IF('Input Data'!$F$31=5,0.25,IF('Input Data'!$F$31=6,0.3)))</f>
        <v>0</v>
      </c>
      <c r="L157" s="38" t="s">
        <v>2</v>
      </c>
      <c r="M157" s="864">
        <f>'Input Data'!H54</f>
        <v>0</v>
      </c>
      <c r="N157" s="854" t="s">
        <v>25</v>
      </c>
      <c r="O157" s="864">
        <f>IF('Input Data'!$F$31&lt;4,0,$Q$115)</f>
        <v>0</v>
      </c>
      <c r="P157" s="25"/>
      <c r="Q157" s="828">
        <f>IF('Input Data'!$F$31&gt;4,IF('Input Data'!$H$54&gt;0,(K157*M157/M158*O157),0),0)</f>
        <v>0</v>
      </c>
    </row>
    <row r="158" spans="1:17" x14ac:dyDescent="0.2">
      <c r="A158" s="1395"/>
      <c r="B158" s="1391"/>
      <c r="C158" s="1391"/>
      <c r="D158" s="45"/>
      <c r="E158" s="45"/>
      <c r="F158" s="45"/>
      <c r="G158" s="45"/>
      <c r="H158" s="45"/>
      <c r="I158" s="19"/>
      <c r="J158" s="19"/>
      <c r="K158" s="49"/>
      <c r="L158" s="20"/>
      <c r="M158" s="865">
        <f>IF('Input Data'!F$31&gt;4,IF('Input Data'!$H$54&gt;0,'Input Data'!$H$48,0),0)</f>
        <v>0</v>
      </c>
      <c r="N158" s="854"/>
      <c r="O158" s="855"/>
      <c r="P158" s="25"/>
      <c r="Q158" s="836"/>
    </row>
    <row r="159" spans="1:17" x14ac:dyDescent="0.2">
      <c r="A159" s="44"/>
      <c r="B159" s="19"/>
      <c r="C159" s="20"/>
      <c r="D159" s="45"/>
      <c r="E159" s="45"/>
      <c r="F159" s="45"/>
      <c r="G159" s="45"/>
      <c r="H159" s="45"/>
      <c r="I159" s="19"/>
      <c r="J159" s="19"/>
      <c r="K159" s="49"/>
      <c r="L159" s="20"/>
      <c r="M159" s="866"/>
      <c r="N159" s="854"/>
      <c r="O159" s="855"/>
      <c r="P159" s="25"/>
      <c r="Q159" s="836"/>
    </row>
    <row r="160" spans="1:17" x14ac:dyDescent="0.2">
      <c r="A160" s="1389" t="s">
        <v>126</v>
      </c>
      <c r="B160" s="1390"/>
      <c r="C160" s="1391"/>
      <c r="D160" s="36"/>
      <c r="E160" s="36"/>
      <c r="F160" s="36"/>
      <c r="G160" s="36"/>
      <c r="H160" s="36"/>
      <c r="I160" s="69">
        <f>IF('Input Data'!$H$55&gt;0,1.25,0)</f>
        <v>0</v>
      </c>
      <c r="J160" s="19" t="s">
        <v>25</v>
      </c>
      <c r="K160" s="49">
        <f>IF('Input Data'!$F$31&lt;5,0,IF('Input Data'!$F$31=5,0.25,IF('Input Data'!$F$31=6,0.3)))</f>
        <v>0</v>
      </c>
      <c r="L160" s="38" t="s">
        <v>2</v>
      </c>
      <c r="M160" s="864">
        <f>'Input Data'!H55</f>
        <v>0</v>
      </c>
      <c r="N160" s="854" t="s">
        <v>25</v>
      </c>
      <c r="O160" s="864">
        <f>IF('Input Data'!$F$31&lt;4,0,$Q$115)</f>
        <v>0</v>
      </c>
      <c r="P160" s="42"/>
      <c r="Q160" s="828">
        <f>IF('Input Data'!$F$31&gt;4,IF('Input Data'!$H$55&gt;0,(I160*K160*M160/M161*O160),0),0)</f>
        <v>0</v>
      </c>
    </row>
    <row r="161" spans="1:17" x14ac:dyDescent="0.2">
      <c r="A161" s="1395"/>
      <c r="B161" s="1391"/>
      <c r="C161" s="1391"/>
      <c r="D161" s="50"/>
      <c r="E161" s="50"/>
      <c r="F161" s="50"/>
      <c r="G161" s="50"/>
      <c r="H161" s="50"/>
      <c r="I161" s="19"/>
      <c r="J161" s="19"/>
      <c r="K161" s="66"/>
      <c r="L161" s="64"/>
      <c r="M161" s="865">
        <f>IF('Input Data'!F$31&gt;4,IF('Input Data'!$H$55&gt;0,'Input Data'!$H$48,0),0)</f>
        <v>0</v>
      </c>
      <c r="N161" s="857"/>
      <c r="O161" s="856"/>
      <c r="P161" s="67"/>
      <c r="Q161" s="818"/>
    </row>
    <row r="162" spans="1:17" x14ac:dyDescent="0.2">
      <c r="A162" s="417"/>
      <c r="B162" s="405"/>
      <c r="C162" s="405"/>
      <c r="D162" s="50"/>
      <c r="E162" s="50"/>
      <c r="F162" s="50"/>
      <c r="G162" s="50"/>
      <c r="H162" s="50"/>
      <c r="I162" s="19"/>
      <c r="J162" s="19"/>
      <c r="K162" s="66"/>
      <c r="L162" s="64"/>
      <c r="M162" s="46"/>
      <c r="N162" s="68"/>
      <c r="O162" s="135" t="s">
        <v>167</v>
      </c>
      <c r="P162" s="67"/>
      <c r="Q162" s="840">
        <f>IF(Q19=0,0,SUM(Q157:Q161))</f>
        <v>0</v>
      </c>
    </row>
    <row r="163" spans="1:17" ht="15.75" thickBot="1" x14ac:dyDescent="0.25">
      <c r="A163" s="418"/>
      <c r="B163" s="419"/>
      <c r="C163" s="419"/>
      <c r="D163" s="84"/>
      <c r="E163" s="84"/>
      <c r="F163" s="84"/>
      <c r="G163" s="84"/>
      <c r="H163" s="84"/>
      <c r="I163" s="85"/>
      <c r="J163" s="85"/>
      <c r="K163" s="86"/>
      <c r="L163" s="12"/>
      <c r="M163" s="87"/>
      <c r="N163" s="79"/>
      <c r="O163" s="13"/>
      <c r="P163" s="13"/>
      <c r="Q163" s="837"/>
    </row>
    <row r="164" spans="1:17" ht="9" customHeight="1" x14ac:dyDescent="0.2">
      <c r="A164" s="469"/>
      <c r="B164" s="470"/>
      <c r="C164" s="470"/>
      <c r="D164" s="470"/>
      <c r="E164" s="470"/>
      <c r="F164" s="470"/>
      <c r="G164" s="470"/>
      <c r="H164" s="470"/>
      <c r="I164" s="470"/>
      <c r="J164" s="470"/>
      <c r="K164" s="470"/>
      <c r="L164" s="471"/>
      <c r="M164" s="471"/>
      <c r="N164" s="40"/>
      <c r="O164" s="46"/>
      <c r="P164" s="42"/>
      <c r="Q164" s="820"/>
    </row>
    <row r="165" spans="1:17" x14ac:dyDescent="0.2">
      <c r="A165" s="495" t="s">
        <v>133</v>
      </c>
      <c r="B165" s="19"/>
      <c r="C165" s="49"/>
      <c r="D165" s="19"/>
      <c r="E165" s="19"/>
      <c r="F165" s="19"/>
      <c r="G165" s="19"/>
      <c r="H165" s="19"/>
      <c r="I165" s="29"/>
      <c r="J165" s="36"/>
      <c r="K165" s="49">
        <f>IF('Input Data'!$F$31&lt;5,0,IF('Input Data'!$F$31=5,0.25,IF('Input Data'!$F$31=6,0.3)))</f>
        <v>0</v>
      </c>
      <c r="L165" s="42" t="s">
        <v>2</v>
      </c>
      <c r="M165" s="864">
        <f>IF('Input Data'!$F$31&gt;3,'Input Data'!$H$58,0)</f>
        <v>0</v>
      </c>
      <c r="N165" s="854" t="s">
        <v>25</v>
      </c>
      <c r="O165" s="855">
        <f>$Q$117</f>
        <v>0</v>
      </c>
      <c r="P165" s="46"/>
      <c r="Q165" s="841">
        <f>IF('Input Data'!$F$31&gt;4,IF('Input Data'!H58&gt;0,(K165*M165/M166*O165),0),0)</f>
        <v>0</v>
      </c>
    </row>
    <row r="166" spans="1:17" ht="18" x14ac:dyDescent="0.2">
      <c r="A166" s="44"/>
      <c r="B166" s="19"/>
      <c r="C166" s="19"/>
      <c r="D166" s="19"/>
      <c r="E166" s="19"/>
      <c r="F166" s="131"/>
      <c r="G166" s="19"/>
      <c r="H166" s="19"/>
      <c r="I166" s="29"/>
      <c r="J166" s="36"/>
      <c r="K166" s="49"/>
      <c r="L166" s="42"/>
      <c r="M166" s="853">
        <f>IF('Input Data'!$F$31&gt;4,'Input Data'!$H$50,0)</f>
        <v>0</v>
      </c>
      <c r="N166" s="854"/>
      <c r="O166" s="855"/>
      <c r="P166" s="46"/>
      <c r="Q166" s="836"/>
    </row>
    <row r="167" spans="1:17" ht="9.75" customHeight="1" thickBot="1" x14ac:dyDescent="0.25">
      <c r="A167" s="123"/>
      <c r="B167" s="12"/>
      <c r="C167" s="85"/>
      <c r="D167" s="85"/>
      <c r="E167" s="85"/>
      <c r="F167" s="85"/>
      <c r="G167" s="85"/>
      <c r="H167" s="85"/>
      <c r="I167" s="133"/>
      <c r="J167" s="84"/>
      <c r="K167" s="86"/>
      <c r="L167" s="13"/>
      <c r="M167" s="13"/>
      <c r="N167" s="79"/>
      <c r="O167" s="13"/>
      <c r="P167" s="13"/>
      <c r="Q167" s="837"/>
    </row>
    <row r="168" spans="1:17" x14ac:dyDescent="0.2">
      <c r="A168" s="63"/>
      <c r="B168" s="64"/>
      <c r="C168" s="19"/>
      <c r="D168" s="19"/>
      <c r="E168" s="19"/>
      <c r="F168" s="19"/>
      <c r="G168" s="19"/>
      <c r="H168" s="19"/>
      <c r="I168" s="65"/>
      <c r="J168" s="50"/>
      <c r="K168" s="66"/>
      <c r="L168" s="67"/>
      <c r="M168" s="67"/>
      <c r="N168" s="68"/>
      <c r="O168" s="67"/>
      <c r="P168" s="67"/>
      <c r="Q168" s="818"/>
    </row>
    <row r="169" spans="1:17" ht="15.75" x14ac:dyDescent="0.2">
      <c r="A169" s="444" t="s">
        <v>201</v>
      </c>
      <c r="B169" s="64"/>
      <c r="C169" s="19"/>
      <c r="D169" s="19"/>
      <c r="E169" s="19"/>
      <c r="F169" s="19"/>
      <c r="G169" s="19"/>
      <c r="H169" s="19"/>
      <c r="I169" s="19"/>
      <c r="J169" s="19"/>
      <c r="K169" s="66">
        <f>IF('Input Data'!$E$34="y",0.01,0)</f>
        <v>0</v>
      </c>
      <c r="L169" s="36" t="s">
        <v>1</v>
      </c>
      <c r="M169" s="49">
        <f>IF('Input Data'!$F$31&lt;5,0,IF('Input Data'!$F$31=5,0.25,IF('Input Data'!$F$31=6,0.3)))</f>
        <v>0</v>
      </c>
      <c r="N169" s="40" t="s">
        <v>2</v>
      </c>
      <c r="O169" s="856">
        <f>IF('Input Data'!F31&lt;5,0,IF('Input Data'!E34="y",'Input Data'!H59,0))</f>
        <v>0</v>
      </c>
      <c r="P169" s="42" t="s">
        <v>3</v>
      </c>
      <c r="Q169" s="833">
        <f>K169*M169*O169</f>
        <v>0</v>
      </c>
    </row>
    <row r="170" spans="1:17" ht="15.75" thickBot="1" x14ac:dyDescent="0.25">
      <c r="A170" s="11"/>
      <c r="B170" s="12"/>
      <c r="C170" s="85"/>
      <c r="D170" s="85"/>
      <c r="E170" s="85"/>
      <c r="F170" s="85"/>
      <c r="G170" s="85"/>
      <c r="H170" s="85"/>
      <c r="I170" s="85"/>
      <c r="J170" s="85"/>
      <c r="K170" s="86"/>
      <c r="L170" s="134"/>
      <c r="M170" s="441"/>
      <c r="N170" s="442"/>
      <c r="O170" s="867"/>
      <c r="P170" s="80"/>
      <c r="Q170" s="837"/>
    </row>
    <row r="171" spans="1:17" x14ac:dyDescent="0.2">
      <c r="A171" s="445"/>
      <c r="B171" s="307"/>
      <c r="C171" s="300"/>
      <c r="D171" s="300"/>
      <c r="E171" s="300"/>
      <c r="F171" s="300"/>
      <c r="G171" s="300"/>
      <c r="H171" s="300"/>
      <c r="I171" s="300"/>
      <c r="J171" s="300"/>
      <c r="K171" s="486"/>
      <c r="L171" s="302"/>
      <c r="M171" s="303"/>
      <c r="N171" s="305"/>
      <c r="O171" s="868"/>
      <c r="P171" s="304"/>
      <c r="Q171" s="842"/>
    </row>
    <row r="172" spans="1:17" x14ac:dyDescent="0.2">
      <c r="A172" s="494" t="s">
        <v>332</v>
      </c>
      <c r="B172" s="64"/>
      <c r="C172" s="19"/>
      <c r="D172" s="19"/>
      <c r="E172" s="19"/>
      <c r="F172" s="19"/>
      <c r="G172" s="19"/>
      <c r="H172" s="19"/>
      <c r="I172" s="19"/>
      <c r="J172" s="19"/>
      <c r="K172" s="66"/>
      <c r="L172" s="36"/>
      <c r="M172" s="49">
        <f>IF(O172&gt;0,1.25,0)</f>
        <v>0</v>
      </c>
      <c r="N172" s="40" t="s">
        <v>25</v>
      </c>
      <c r="O172" s="869">
        <f>'WTW Calculations'!S55</f>
        <v>0</v>
      </c>
      <c r="P172" s="42"/>
      <c r="Q172" s="843">
        <f>O172*M172</f>
        <v>0</v>
      </c>
    </row>
    <row r="173" spans="1:17" ht="15.75" thickBot="1" x14ac:dyDescent="0.25">
      <c r="A173" s="11"/>
      <c r="B173" s="12"/>
      <c r="C173" s="85"/>
      <c r="D173" s="85"/>
      <c r="E173" s="85"/>
      <c r="F173" s="85"/>
      <c r="G173" s="85"/>
      <c r="H173" s="85"/>
      <c r="I173" s="85"/>
      <c r="J173" s="85"/>
      <c r="K173" s="86"/>
      <c r="L173" s="134"/>
      <c r="M173" s="441"/>
      <c r="N173" s="442"/>
      <c r="O173" s="867"/>
      <c r="P173" s="80"/>
      <c r="Q173" s="837"/>
    </row>
    <row r="174" spans="1:17" ht="18.75" thickBot="1" x14ac:dyDescent="0.25">
      <c r="A174" s="459"/>
      <c r="B174" s="460"/>
      <c r="C174" s="32"/>
      <c r="D174" s="32"/>
      <c r="E174" s="461"/>
      <c r="F174" s="461"/>
      <c r="G174" s="32"/>
      <c r="H174" s="462"/>
      <c r="I174" s="28"/>
      <c r="J174" s="463"/>
      <c r="K174" s="389"/>
      <c r="L174" s="15"/>
      <c r="M174" s="76"/>
      <c r="N174" s="76"/>
      <c r="O174" s="870" t="s">
        <v>320</v>
      </c>
      <c r="P174" s="76"/>
      <c r="Q174" s="839">
        <f>IF(16=0,0,(Q162+Q165+Q169+Q172))</f>
        <v>0</v>
      </c>
    </row>
    <row r="175" spans="1:17" ht="15.75" thickTop="1" x14ac:dyDescent="0.2">
      <c r="A175" s="445"/>
      <c r="B175" s="307"/>
      <c r="C175" s="300"/>
      <c r="D175" s="300"/>
      <c r="E175" s="300"/>
      <c r="F175" s="300"/>
      <c r="G175" s="300"/>
      <c r="H175" s="300"/>
      <c r="I175" s="300"/>
      <c r="J175" s="300"/>
      <c r="K175" s="446"/>
      <c r="L175" s="302"/>
      <c r="M175" s="78"/>
      <c r="N175" s="304"/>
      <c r="O175" s="871"/>
      <c r="P175" s="304"/>
      <c r="Q175" s="842"/>
    </row>
    <row r="176" spans="1:17" ht="18" x14ac:dyDescent="0.2">
      <c r="A176" s="447" t="s">
        <v>316</v>
      </c>
      <c r="B176" s="64"/>
      <c r="C176" s="19"/>
      <c r="D176" s="19"/>
      <c r="E176" s="19"/>
      <c r="F176" s="19"/>
      <c r="G176" s="19"/>
      <c r="H176" s="19"/>
      <c r="I176" s="19"/>
      <c r="J176" s="19"/>
      <c r="K176" s="65">
        <f>IF('Input Data'!$E$35="y",0.07,0)</f>
        <v>0</v>
      </c>
      <c r="L176" s="36" t="s">
        <v>25</v>
      </c>
      <c r="M176" s="49">
        <f>IF('Input Data'!$F$31=1,0.05,IF('Input Data'!$F$31=2,0.25,IF('Input Data'!$F$31=3,0.55,IF('Input Data'!$F$31=4,0.7,IF('Input Data'!$F$31=5,0.95,1)))))</f>
        <v>0.05</v>
      </c>
      <c r="N176" s="40" t="s">
        <v>2</v>
      </c>
      <c r="O176" s="856">
        <f>Q118</f>
        <v>0</v>
      </c>
      <c r="P176" s="42" t="s">
        <v>3</v>
      </c>
      <c r="Q176" s="833">
        <f>K176*M176*O176</f>
        <v>0</v>
      </c>
    </row>
    <row r="177" spans="1:17" ht="15.75" thickBot="1" x14ac:dyDescent="0.25">
      <c r="A177" s="11"/>
      <c r="B177" s="12"/>
      <c r="C177" s="85"/>
      <c r="D177" s="85"/>
      <c r="E177" s="85"/>
      <c r="F177" s="85"/>
      <c r="G177" s="85"/>
      <c r="H177" s="85"/>
      <c r="I177" s="85"/>
      <c r="J177" s="85"/>
      <c r="K177" s="133"/>
      <c r="L177" s="134"/>
      <c r="M177" s="61"/>
      <c r="N177" s="80"/>
      <c r="O177" s="13"/>
      <c r="P177" s="80"/>
      <c r="Q177" s="837"/>
    </row>
    <row r="178" spans="1:17" ht="16.5" thickBot="1" x14ac:dyDescent="0.25">
      <c r="A178" s="308"/>
      <c r="B178" s="14"/>
      <c r="C178" s="14"/>
      <c r="D178" s="14"/>
      <c r="E178" s="14"/>
      <c r="F178" s="14"/>
      <c r="G178" s="309"/>
      <c r="H178" s="14"/>
      <c r="I178" s="420"/>
      <c r="J178" s="14"/>
      <c r="K178" s="308"/>
      <c r="L178" s="14"/>
      <c r="M178" s="14"/>
      <c r="N178" s="14"/>
      <c r="O178" s="435" t="s">
        <v>296</v>
      </c>
      <c r="P178" s="14"/>
      <c r="Q178" s="844">
        <f>IF(Q19&gt;0,Q155+Q174+Q176,0)</f>
        <v>0</v>
      </c>
    </row>
    <row r="179" spans="1:17" ht="15.75" thickTop="1" x14ac:dyDescent="0.2"/>
  </sheetData>
  <sheetProtection password="CD4C" sheet="1" objects="1" scenarios="1"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92">
    <mergeCell ref="K8:L8"/>
    <mergeCell ref="M8:O8"/>
    <mergeCell ref="O10:Q10"/>
    <mergeCell ref="B13:O13"/>
    <mergeCell ref="B17:I17"/>
    <mergeCell ref="B19:K19"/>
    <mergeCell ref="O18:Q18"/>
    <mergeCell ref="A160:C161"/>
    <mergeCell ref="G87:O87"/>
    <mergeCell ref="A157:C158"/>
    <mergeCell ref="A145:K145"/>
    <mergeCell ref="A141:D142"/>
    <mergeCell ref="A138:D139"/>
    <mergeCell ref="I90:O90"/>
    <mergeCell ref="I88:J88"/>
    <mergeCell ref="A129:F130"/>
    <mergeCell ref="B103:Q104"/>
    <mergeCell ref="A135:E136"/>
    <mergeCell ref="A126:D127"/>
    <mergeCell ref="A54:N54"/>
    <mergeCell ref="A120:C121"/>
    <mergeCell ref="A132:E133"/>
    <mergeCell ref="A123:D124"/>
    <mergeCell ref="A117:J117"/>
    <mergeCell ref="F107:H107"/>
    <mergeCell ref="K109:L109"/>
    <mergeCell ref="I108:J108"/>
    <mergeCell ref="K6:L6"/>
    <mergeCell ref="N6:O6"/>
    <mergeCell ref="H4:I4"/>
    <mergeCell ref="O109:P109"/>
    <mergeCell ref="B8:J8"/>
    <mergeCell ref="B9:J9"/>
    <mergeCell ref="B10:H10"/>
    <mergeCell ref="L16:M16"/>
    <mergeCell ref="B14:O14"/>
    <mergeCell ref="J10:K10"/>
    <mergeCell ref="P4:Q4"/>
    <mergeCell ref="P12:Q12"/>
    <mergeCell ref="P6:Q6"/>
    <mergeCell ref="B5:Q5"/>
    <mergeCell ref="B6:J6"/>
    <mergeCell ref="B7:J7"/>
    <mergeCell ref="C4:G4"/>
    <mergeCell ref="K7:L7"/>
    <mergeCell ref="M7:O7"/>
    <mergeCell ref="B12:N12"/>
    <mergeCell ref="I109:J109"/>
    <mergeCell ref="M109:N109"/>
    <mergeCell ref="L20:P20"/>
    <mergeCell ref="A29:N29"/>
    <mergeCell ref="A33:N33"/>
    <mergeCell ref="A35:N35"/>
    <mergeCell ref="O107:P107"/>
    <mergeCell ref="C108:E108"/>
    <mergeCell ref="F108:H108"/>
    <mergeCell ref="A27:N27"/>
    <mergeCell ref="A20:I20"/>
    <mergeCell ref="J20:K20"/>
    <mergeCell ref="N17:O17"/>
    <mergeCell ref="C18:I18"/>
    <mergeCell ref="L19:P19"/>
    <mergeCell ref="A47:P47"/>
    <mergeCell ref="A25:N25"/>
    <mergeCell ref="A23:M23"/>
    <mergeCell ref="M108:N108"/>
    <mergeCell ref="O108:P108"/>
    <mergeCell ref="C107:E107"/>
    <mergeCell ref="K107:L107"/>
    <mergeCell ref="I107:J107"/>
    <mergeCell ref="O15:Q15"/>
    <mergeCell ref="A39:M39"/>
    <mergeCell ref="C15:J15"/>
    <mergeCell ref="A31:N31"/>
    <mergeCell ref="A37:N37"/>
    <mergeCell ref="O110:P110"/>
    <mergeCell ref="M111:N111"/>
    <mergeCell ref="F110:H110"/>
    <mergeCell ref="I110:J110"/>
    <mergeCell ref="O111:P111"/>
    <mergeCell ref="K110:L110"/>
    <mergeCell ref="M110:N110"/>
    <mergeCell ref="C110:E110"/>
    <mergeCell ref="A52:N52"/>
    <mergeCell ref="M107:N107"/>
    <mergeCell ref="C109:E109"/>
    <mergeCell ref="F109:H109"/>
    <mergeCell ref="C111:E111"/>
    <mergeCell ref="F111:H111"/>
    <mergeCell ref="I111:J111"/>
    <mergeCell ref="K111:L111"/>
    <mergeCell ref="K108:L108"/>
  </mergeCells>
  <phoneticPr fontId="0" type="noConversion"/>
  <conditionalFormatting sqref="Q111 O111 M111 K111 I111 B111:C111 F111">
    <cfRule type="expression" dxfId="0" priority="1" stopIfTrue="1">
      <formula>B111&lt;B110</formula>
    </cfRule>
  </conditionalFormatting>
  <printOptions horizontalCentered="1"/>
  <pageMargins left="0.55118110236220474" right="0.55118110236220474" top="0.78740157480314965" bottom="0.78740157480314965" header="0.47244094488188981" footer="0.55118110236220474"/>
  <pageSetup paperSize="9" scale="50" orientation="portrait" r:id="rId2"/>
  <headerFooter alignWithMargins="0">
    <oddFooter>&amp;L&amp;"Arial,Regular"&amp;8&amp;A 
(&amp;F)&amp;C&amp;"Arial,Regular"&amp;P&amp;R&amp;"Arial,Regular"&amp;9&amp;D</oddFooter>
  </headerFooter>
  <rowBreaks count="1" manualBreakCount="1">
    <brk id="90" max="16" man="1"/>
  </rowBreaks>
  <colBreaks count="1" manualBreakCount="1">
    <brk id="17" max="177"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7"/>
  </sheetPr>
  <dimension ref="B1:L34"/>
  <sheetViews>
    <sheetView zoomScale="75" zoomScaleNormal="100" workbookViewId="0">
      <selection activeCell="D12" sqref="D12"/>
    </sheetView>
  </sheetViews>
  <sheetFormatPr defaultRowHeight="15" x14ac:dyDescent="0.2"/>
  <cols>
    <col min="1" max="1" width="2.77734375" customWidth="1"/>
    <col min="2" max="2" width="15" customWidth="1"/>
    <col min="3" max="3" width="13.33203125" customWidth="1"/>
    <col min="4" max="4" width="13.109375" customWidth="1"/>
    <col min="5" max="5" width="14.6640625" customWidth="1"/>
    <col min="6" max="6" width="4.44140625" customWidth="1"/>
    <col min="8" max="8" width="26.88671875" customWidth="1"/>
    <col min="10" max="10" width="3.109375" customWidth="1"/>
    <col min="11" max="11" width="14" bestFit="1" customWidth="1"/>
    <col min="12" max="12" width="15.33203125" bestFit="1" customWidth="1"/>
  </cols>
  <sheetData>
    <row r="1" spans="2:12" ht="18" x14ac:dyDescent="0.25">
      <c r="B1" s="700" t="s">
        <v>451</v>
      </c>
    </row>
    <row r="2" spans="2:12" ht="16.5" thickBot="1" x14ac:dyDescent="0.3">
      <c r="B2" s="375" t="s">
        <v>452</v>
      </c>
      <c r="C2" s="1419" t="s">
        <v>128</v>
      </c>
      <c r="D2" s="1419"/>
      <c r="E2" s="1419"/>
      <c r="G2" s="377" t="s">
        <v>431</v>
      </c>
      <c r="H2" s="1047"/>
      <c r="I2" s="1047"/>
      <c r="J2" s="1047"/>
      <c r="K2" s="1047"/>
      <c r="L2" s="1047"/>
    </row>
    <row r="3" spans="2:12" ht="20.100000000000001" customHeight="1" x14ac:dyDescent="0.2">
      <c r="B3" s="1128">
        <v>0</v>
      </c>
      <c r="C3" s="1129">
        <f>B4</f>
        <v>512000</v>
      </c>
      <c r="D3" s="1129">
        <v>0</v>
      </c>
      <c r="E3" s="1130">
        <v>0.125</v>
      </c>
      <c r="G3" s="1048" t="s">
        <v>432</v>
      </c>
      <c r="H3" s="1049" t="s">
        <v>433</v>
      </c>
      <c r="I3" s="1050" t="s">
        <v>434</v>
      </c>
      <c r="J3" s="1051"/>
      <c r="K3" s="1052" t="s">
        <v>435</v>
      </c>
      <c r="L3" s="1053" t="s">
        <v>436</v>
      </c>
    </row>
    <row r="4" spans="2:12" ht="20.100000000000001" customHeight="1" x14ac:dyDescent="0.2">
      <c r="B4" s="1131">
        <v>512000</v>
      </c>
      <c r="C4" s="1132">
        <v>1280000</v>
      </c>
      <c r="D4" s="1132">
        <v>64000</v>
      </c>
      <c r="E4" s="1133">
        <v>0.125</v>
      </c>
      <c r="G4" s="1054" t="s">
        <v>437</v>
      </c>
      <c r="H4" s="1055" t="s">
        <v>438</v>
      </c>
      <c r="I4" s="1056">
        <v>0.05</v>
      </c>
      <c r="J4" s="1057" t="s">
        <v>25</v>
      </c>
      <c r="K4" s="1058">
        <v>1</v>
      </c>
      <c r="L4" s="1059">
        <v>0.05</v>
      </c>
    </row>
    <row r="5" spans="2:12" ht="20.100000000000001" customHeight="1" x14ac:dyDescent="0.2">
      <c r="B5" s="1131">
        <v>1280000</v>
      </c>
      <c r="C5" s="1132">
        <v>6300000</v>
      </c>
      <c r="D5" s="1132">
        <v>160000</v>
      </c>
      <c r="E5" s="1134">
        <v>0.1</v>
      </c>
      <c r="G5" s="1054" t="s">
        <v>439</v>
      </c>
      <c r="H5" s="1055" t="s">
        <v>440</v>
      </c>
      <c r="I5" s="1056">
        <f>IF('Input Data'!$F$31&lt;2,0,20%)</f>
        <v>0</v>
      </c>
      <c r="J5" s="1057" t="s">
        <v>25</v>
      </c>
      <c r="K5" s="1058">
        <f>IF('Input Data'!$F$31=2,'Input Data'!$D$32,1)</f>
        <v>1</v>
      </c>
      <c r="L5" s="1059">
        <f>I5*K5+L4</f>
        <v>0.05</v>
      </c>
    </row>
    <row r="6" spans="2:12" ht="20.100000000000001" customHeight="1" x14ac:dyDescent="0.2">
      <c r="B6" s="1131">
        <v>6300000</v>
      </c>
      <c r="C6" s="1132">
        <v>12850000</v>
      </c>
      <c r="D6" s="1132">
        <v>662000</v>
      </c>
      <c r="E6" s="1134">
        <v>0.09</v>
      </c>
      <c r="G6" s="1054" t="s">
        <v>441</v>
      </c>
      <c r="H6" s="1055" t="s">
        <v>442</v>
      </c>
      <c r="I6" s="1056">
        <f>IF('Input Data'!$F$31&lt;3,0,30%)</f>
        <v>0</v>
      </c>
      <c r="J6" s="1057" t="s">
        <v>25</v>
      </c>
      <c r="K6" s="1058">
        <f>IF('Input Data'!$F$31=3,'Input Data'!$D$32,1)</f>
        <v>1</v>
      </c>
      <c r="L6" s="1059">
        <f>I6*K6+L5</f>
        <v>0.05</v>
      </c>
    </row>
    <row r="7" spans="2:12" ht="20.100000000000001" customHeight="1" thickBot="1" x14ac:dyDescent="0.25">
      <c r="B7" s="1131">
        <v>12850000</v>
      </c>
      <c r="C7" s="1132">
        <v>32000000</v>
      </c>
      <c r="D7" s="1132">
        <v>1251500</v>
      </c>
      <c r="E7" s="1134">
        <v>0.08</v>
      </c>
      <c r="G7" s="1060" t="s">
        <v>443</v>
      </c>
      <c r="H7" s="1061" t="s">
        <v>444</v>
      </c>
      <c r="I7" s="1062">
        <f>IF('Input Data'!$F$31&lt;4,0,15%)</f>
        <v>0</v>
      </c>
      <c r="J7" s="1063" t="s">
        <v>25</v>
      </c>
      <c r="K7" s="1064">
        <f>IF('Input Data'!$F$31=4,'Input Data'!$D$32,1)</f>
        <v>1</v>
      </c>
      <c r="L7" s="1065">
        <f>I7*K7+L6</f>
        <v>0.05</v>
      </c>
    </row>
    <row r="8" spans="2:12" ht="20.100000000000001" customHeight="1" x14ac:dyDescent="0.2">
      <c r="B8" s="1131">
        <v>32000000</v>
      </c>
      <c r="C8" s="1132">
        <v>64000000</v>
      </c>
      <c r="D8" s="1132">
        <v>2783500</v>
      </c>
      <c r="E8" s="1134">
        <v>0.06</v>
      </c>
    </row>
    <row r="9" spans="2:12" ht="20.100000000000001" customHeight="1" x14ac:dyDescent="0.2">
      <c r="B9" s="1131">
        <v>64000000</v>
      </c>
      <c r="C9" s="1132">
        <v>385500000</v>
      </c>
      <c r="D9" s="1132">
        <v>4703500</v>
      </c>
      <c r="E9" s="1134">
        <v>5.5E-2</v>
      </c>
    </row>
    <row r="10" spans="2:12" ht="20.100000000000001" customHeight="1" thickBot="1" x14ac:dyDescent="0.25">
      <c r="B10" s="1135">
        <v>385500000</v>
      </c>
      <c r="C10" s="1136">
        <v>1000000000</v>
      </c>
      <c r="D10" s="1136">
        <v>22386000</v>
      </c>
      <c r="E10" s="1137">
        <v>0.05</v>
      </c>
      <c r="H10" s="1055" t="s">
        <v>438</v>
      </c>
      <c r="I10" s="1119">
        <v>5</v>
      </c>
    </row>
    <row r="11" spans="2:12" ht="28.5" customHeight="1" x14ac:dyDescent="0.2">
      <c r="B11" s="1138"/>
      <c r="C11" s="1139"/>
      <c r="D11" s="1139"/>
      <c r="E11" s="1139"/>
      <c r="H11" s="1055" t="s">
        <v>440</v>
      </c>
      <c r="I11" s="1119">
        <v>20</v>
      </c>
    </row>
    <row r="12" spans="2:12" ht="21" customHeight="1" x14ac:dyDescent="0.2">
      <c r="B12" s="1140"/>
      <c r="C12" s="1140"/>
      <c r="D12" s="1140"/>
      <c r="E12" s="1140"/>
      <c r="H12" s="1055" t="s">
        <v>442</v>
      </c>
      <c r="I12" s="1119">
        <v>30</v>
      </c>
    </row>
    <row r="13" spans="2:12" ht="31.5" customHeight="1" thickBot="1" x14ac:dyDescent="0.3">
      <c r="B13" s="377" t="s">
        <v>453</v>
      </c>
      <c r="C13" s="1420" t="s">
        <v>129</v>
      </c>
      <c r="D13" s="1420"/>
      <c r="E13" s="1420"/>
      <c r="H13" s="1055" t="s">
        <v>444</v>
      </c>
      <c r="I13" s="1119">
        <v>15</v>
      </c>
    </row>
    <row r="14" spans="2:12" ht="20.100000000000001" customHeight="1" x14ac:dyDescent="0.2">
      <c r="B14" s="1141">
        <v>0</v>
      </c>
      <c r="C14" s="1142">
        <f>B15</f>
        <v>512000</v>
      </c>
      <c r="D14" s="1143">
        <v>0</v>
      </c>
      <c r="E14" s="1144">
        <v>0.05</v>
      </c>
      <c r="H14" s="1110"/>
      <c r="I14" s="1119">
        <f>SUM(I10:I13)</f>
        <v>70</v>
      </c>
    </row>
    <row r="15" spans="2:12" ht="20.100000000000001" customHeight="1" x14ac:dyDescent="0.2">
      <c r="B15" s="1145">
        <v>512000</v>
      </c>
      <c r="C15" s="1146">
        <v>1280000</v>
      </c>
      <c r="D15" s="1146">
        <v>25600</v>
      </c>
      <c r="E15" s="1147">
        <v>0.05</v>
      </c>
    </row>
    <row r="16" spans="2:12" ht="20.100000000000001" customHeight="1" x14ac:dyDescent="0.2">
      <c r="B16" s="1145">
        <v>1280000</v>
      </c>
      <c r="C16" s="1146">
        <v>6300000</v>
      </c>
      <c r="D16" s="1146">
        <v>64000</v>
      </c>
      <c r="E16" s="1148">
        <v>4.4999999999999998E-2</v>
      </c>
      <c r="I16" s="1155"/>
      <c r="K16" s="1156"/>
      <c r="L16" s="225"/>
    </row>
    <row r="17" spans="2:12" ht="20.100000000000001" customHeight="1" x14ac:dyDescent="0.2">
      <c r="B17" s="1145">
        <v>6300000</v>
      </c>
      <c r="C17" s="1146">
        <v>12850000</v>
      </c>
      <c r="D17" s="1146">
        <v>289900</v>
      </c>
      <c r="E17" s="1148">
        <v>0.04</v>
      </c>
      <c r="H17" s="1156"/>
      <c r="I17" s="1157"/>
      <c r="K17" s="1156"/>
      <c r="L17" s="1158"/>
    </row>
    <row r="18" spans="2:12" ht="20.100000000000001" customHeight="1" x14ac:dyDescent="0.2">
      <c r="B18" s="1145">
        <v>12850000</v>
      </c>
      <c r="C18" s="1146">
        <v>32000000</v>
      </c>
      <c r="D18" s="1146">
        <v>551900</v>
      </c>
      <c r="E18" s="1148">
        <v>0.03</v>
      </c>
    </row>
    <row r="19" spans="2:12" ht="20.100000000000001" customHeight="1" x14ac:dyDescent="0.2">
      <c r="B19" s="1145">
        <v>32000000</v>
      </c>
      <c r="C19" s="1146">
        <v>64000000</v>
      </c>
      <c r="D19" s="1146">
        <v>1126400</v>
      </c>
      <c r="E19" s="1148">
        <v>0.02</v>
      </c>
    </row>
    <row r="20" spans="2:12" ht="20.100000000000001" customHeight="1" x14ac:dyDescent="0.2">
      <c r="B20" s="1145">
        <v>64000000</v>
      </c>
      <c r="C20" s="1146">
        <v>385500000</v>
      </c>
      <c r="D20" s="1146">
        <v>1766400</v>
      </c>
      <c r="E20" s="1148">
        <v>1.4999999999999999E-2</v>
      </c>
    </row>
    <row r="21" spans="2:12" ht="20.100000000000001" customHeight="1" thickBot="1" x14ac:dyDescent="0.25">
      <c r="B21" s="1149">
        <v>385500000</v>
      </c>
      <c r="C21" s="1150">
        <v>1000000000</v>
      </c>
      <c r="D21" s="1150">
        <v>6588900</v>
      </c>
      <c r="E21" s="1151">
        <v>1.4999999999999999E-2</v>
      </c>
    </row>
    <row r="22" spans="2:12" ht="18" customHeight="1" x14ac:dyDescent="0.2"/>
    <row r="29" spans="2:12" ht="15.75" customHeight="1" x14ac:dyDescent="0.2"/>
    <row r="30" spans="2:12" ht="15.75" customHeight="1" x14ac:dyDescent="0.2"/>
    <row r="31" spans="2:12" ht="15" customHeight="1" x14ac:dyDescent="0.2"/>
    <row r="32" spans="2:12" ht="15" customHeight="1" x14ac:dyDescent="0.2"/>
    <row r="34" ht="15.75" customHeight="1" x14ac:dyDescent="0.2"/>
  </sheetData>
  <sheetProtection password="CD4C" sheet="1" objects="1" scenarios="1"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2">
    <mergeCell ref="C2:E2"/>
    <mergeCell ref="C13:E13"/>
  </mergeCells>
  <phoneticPr fontId="0" type="noConversion"/>
  <pageMargins left="0.75" right="0.75" top="1" bottom="1" header="0.5" footer="0.5"/>
  <pageSetup paperSize="9" scale="91" orientation="landscape"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J29"/>
  <sheetViews>
    <sheetView view="pageBreakPreview" zoomScale="70" zoomScaleNormal="75" zoomScaleSheetLayoutView="70" workbookViewId="0">
      <selection activeCell="D6" sqref="D6"/>
    </sheetView>
  </sheetViews>
  <sheetFormatPr defaultRowHeight="15" x14ac:dyDescent="0.2"/>
  <cols>
    <col min="1" max="1" width="9.88671875" customWidth="1"/>
    <col min="2" max="2" width="10.21875" customWidth="1"/>
    <col min="3" max="3" width="10.5546875" customWidth="1"/>
    <col min="4" max="4" width="22.21875" customWidth="1"/>
    <col min="5" max="5" width="17.33203125" customWidth="1"/>
    <col min="6" max="6" width="17.5546875" customWidth="1"/>
    <col min="7" max="7" width="16.5546875" customWidth="1"/>
    <col min="8" max="8" width="17.109375" customWidth="1"/>
    <col min="9" max="9" width="5.88671875" customWidth="1"/>
    <col min="10" max="10" width="9.44140625" customWidth="1"/>
  </cols>
  <sheetData>
    <row r="1" spans="1:10" ht="15.75" thickTop="1" x14ac:dyDescent="0.2">
      <c r="A1" s="159"/>
      <c r="B1" s="126"/>
      <c r="C1" s="126"/>
      <c r="D1" s="126"/>
      <c r="E1" s="126"/>
      <c r="F1" s="126"/>
      <c r="G1" s="126"/>
      <c r="H1" s="127"/>
    </row>
    <row r="2" spans="1:10" ht="23.25" x14ac:dyDescent="0.2">
      <c r="A2" s="128"/>
      <c r="B2" s="633" t="s">
        <v>144</v>
      </c>
      <c r="D2" s="124"/>
      <c r="E2" s="124"/>
      <c r="F2" s="124"/>
      <c r="G2" s="124"/>
      <c r="H2" s="130"/>
    </row>
    <row r="3" spans="1:10" ht="31.5" customHeight="1" x14ac:dyDescent="0.2">
      <c r="B3" s="790"/>
      <c r="C3" s="790"/>
      <c r="D3" s="1092" t="str">
        <f>'Input Data'!E2</f>
        <v xml:space="preserve">STRUCTURAL ENGINEERING  </v>
      </c>
      <c r="E3" s="1088"/>
      <c r="F3" s="1093"/>
      <c r="G3" s="275" t="s">
        <v>142</v>
      </c>
      <c r="H3" s="632">
        <f>'Input Data'!D27</f>
        <v>0</v>
      </c>
    </row>
    <row r="4" spans="1:10" ht="29.25" customHeight="1" x14ac:dyDescent="0.2">
      <c r="A4" s="128"/>
      <c r="B4" s="158"/>
      <c r="C4" s="158"/>
      <c r="D4" s="1092" t="str">
        <f>'Input Data'!E3</f>
        <v>ENGINEERING PROJECT:  2012 NDPW FEES</v>
      </c>
      <c r="E4" s="1093"/>
      <c r="F4" s="1093"/>
      <c r="G4" s="1093"/>
      <c r="H4" s="1099" t="str">
        <f>'Input Data'!H3</f>
        <v>Version: 1.0  2012-02</v>
      </c>
      <c r="I4" s="623"/>
    </row>
    <row r="5" spans="1:10" x14ac:dyDescent="0.2">
      <c r="A5" s="652"/>
      <c r="C5" s="124"/>
      <c r="D5" s="124"/>
      <c r="E5" s="124"/>
      <c r="F5" s="124"/>
      <c r="G5" s="124"/>
      <c r="H5" s="130"/>
    </row>
    <row r="6" spans="1:10" x14ac:dyDescent="0.2">
      <c r="A6" s="128"/>
      <c r="B6" s="124"/>
      <c r="C6" s="124"/>
      <c r="D6" s="124"/>
      <c r="E6" s="124"/>
      <c r="F6" s="124"/>
      <c r="G6" s="124"/>
      <c r="H6" s="130"/>
    </row>
    <row r="7" spans="1:10" x14ac:dyDescent="0.2">
      <c r="A7" s="128"/>
      <c r="B7" s="124"/>
      <c r="C7" s="124"/>
      <c r="D7" s="124"/>
      <c r="E7" s="532"/>
      <c r="F7" s="124"/>
      <c r="G7" s="532"/>
      <c r="H7" s="130"/>
    </row>
    <row r="8" spans="1:10" ht="18" x14ac:dyDescent="0.2">
      <c r="A8" s="1421" t="s">
        <v>298</v>
      </c>
      <c r="B8" s="1422"/>
      <c r="C8" s="1423">
        <f>'Input Data'!D5</f>
        <v>0</v>
      </c>
      <c r="D8" s="1424"/>
      <c r="E8" s="532"/>
      <c r="F8" s="1430" t="str">
        <f>'Input Data'!D31</f>
        <v>INCEPTION</v>
      </c>
      <c r="G8" s="1431"/>
      <c r="H8" s="651" t="s">
        <v>146</v>
      </c>
      <c r="I8" s="27"/>
    </row>
    <row r="9" spans="1:10" ht="19.5" x14ac:dyDescent="0.2">
      <c r="A9" s="401"/>
      <c r="B9" s="1428" t="s">
        <v>18</v>
      </c>
      <c r="C9" s="1429"/>
      <c r="D9" s="1429"/>
      <c r="E9" s="650">
        <f>'Input Data'!D28</f>
        <v>0</v>
      </c>
      <c r="F9" s="124"/>
      <c r="G9" s="124"/>
      <c r="H9" s="434"/>
      <c r="I9" s="27"/>
    </row>
    <row r="10" spans="1:10" ht="15.75" x14ac:dyDescent="0.2">
      <c r="A10" s="1421" t="s">
        <v>379</v>
      </c>
      <c r="B10" s="1427"/>
      <c r="C10" s="1432">
        <f>'Input Data'!D12</f>
        <v>0</v>
      </c>
      <c r="D10" s="1433"/>
      <c r="E10" s="1433"/>
      <c r="F10" s="1433"/>
      <c r="G10" s="472"/>
      <c r="H10" s="598"/>
    </row>
    <row r="11" spans="1:10" ht="24" customHeight="1" x14ac:dyDescent="0.2">
      <c r="A11" s="274" t="s">
        <v>289</v>
      </c>
      <c r="B11" s="1425">
        <f>'Input Data'!D11</f>
        <v>0</v>
      </c>
      <c r="C11" s="1426"/>
      <c r="D11" s="1426"/>
      <c r="E11" s="1426"/>
      <c r="F11" s="1426"/>
      <c r="G11" s="1426"/>
      <c r="H11" s="403"/>
    </row>
    <row r="12" spans="1:10" ht="15.75" thickBot="1" x14ac:dyDescent="0.25">
      <c r="A12" s="128"/>
      <c r="B12" s="124"/>
      <c r="C12" s="124"/>
      <c r="D12" s="124"/>
      <c r="E12" s="124"/>
      <c r="F12" s="532"/>
      <c r="G12" s="124"/>
      <c r="H12" s="130"/>
    </row>
    <row r="13" spans="1:10" ht="93.75" customHeight="1" thickTop="1" thickBot="1" x14ac:dyDescent="0.25">
      <c r="A13" s="1450" t="s">
        <v>402</v>
      </c>
      <c r="B13" s="1451"/>
      <c r="C13" s="1451"/>
      <c r="D13" s="1452"/>
      <c r="E13" s="1114" t="s">
        <v>446</v>
      </c>
      <c r="F13" s="1114" t="s">
        <v>447</v>
      </c>
      <c r="G13" s="1115" t="s">
        <v>448</v>
      </c>
      <c r="H13" s="635" t="s">
        <v>151</v>
      </c>
    </row>
    <row r="14" spans="1:10" ht="39.950000000000003" customHeight="1" thickTop="1" x14ac:dyDescent="0.2">
      <c r="A14" s="1166" t="s">
        <v>210</v>
      </c>
      <c r="B14" s="1167"/>
      <c r="C14" s="1167"/>
      <c r="D14" s="1167"/>
      <c r="E14" s="1067"/>
      <c r="F14" s="1067"/>
      <c r="G14" s="1111"/>
      <c r="H14" s="873">
        <f>IF('Input Data'!$E$9="e",IF('Input Data'!$F$31&lt;5,E14,IF('Input Data'!$F$31=5,F14,IF('Input Data'!$F$31=6,G14))))</f>
        <v>0</v>
      </c>
      <c r="J14" s="3"/>
    </row>
    <row r="15" spans="1:10" ht="39.950000000000003" customHeight="1" x14ac:dyDescent="0.2">
      <c r="A15" s="1159" t="s">
        <v>196</v>
      </c>
      <c r="B15" s="1162"/>
      <c r="C15" s="1162"/>
      <c r="D15" s="1162"/>
      <c r="E15" s="1067"/>
      <c r="F15" s="1067"/>
      <c r="G15" s="1111"/>
      <c r="H15" s="874">
        <f>IF('Input Data'!$E$9="e",IF('Input Data'!$F$31&lt;5,E15,IF('Input Data'!$F$31=5,F15,IF('Input Data'!$F$31=6,G15))))</f>
        <v>0</v>
      </c>
      <c r="J15" s="3"/>
    </row>
    <row r="16" spans="1:10" ht="39.950000000000003" customHeight="1" x14ac:dyDescent="0.2">
      <c r="A16" s="1159" t="s">
        <v>204</v>
      </c>
      <c r="B16" s="1160"/>
      <c r="C16" s="1160"/>
      <c r="D16" s="1160"/>
      <c r="E16" s="1067"/>
      <c r="F16" s="1067"/>
      <c r="G16" s="1111"/>
      <c r="H16" s="874">
        <f>IF('Input Data'!$E$9="e",IF('Input Data'!$F$31&lt;5,E16,IF('Input Data'!$F$31=5,F16,IF('Input Data'!$F$31=6,G16))))</f>
        <v>0</v>
      </c>
      <c r="J16" s="3"/>
    </row>
    <row r="17" spans="1:10" ht="51" customHeight="1" x14ac:dyDescent="0.2">
      <c r="A17" s="1159" t="s">
        <v>197</v>
      </c>
      <c r="B17" s="1162"/>
      <c r="C17" s="1162"/>
      <c r="D17" s="1162"/>
      <c r="E17" s="1067"/>
      <c r="F17" s="1067"/>
      <c r="G17" s="1111"/>
      <c r="H17" s="874">
        <f>IF('Input Data'!$E$9="e",IF('Input Data'!$F$31&lt;5,E17,IF('Input Data'!$F$31=5,F17,IF('Input Data'!$F$31=6,G17))))</f>
        <v>0</v>
      </c>
      <c r="J17" s="3"/>
    </row>
    <row r="18" spans="1:10" ht="48" customHeight="1" x14ac:dyDescent="0.2">
      <c r="A18" s="1159" t="s">
        <v>205</v>
      </c>
      <c r="B18" s="1160"/>
      <c r="C18" s="1160"/>
      <c r="D18" s="1160"/>
      <c r="E18" s="1067"/>
      <c r="F18" s="1067"/>
      <c r="G18" s="1111"/>
      <c r="H18" s="874">
        <f>IF('Input Data'!$E$9="e",IF('Input Data'!$F$31&lt;5,E18,IF('Input Data'!$F$31=5,F18,IF('Input Data'!$F$31=6,G18))))</f>
        <v>0</v>
      </c>
      <c r="J18" s="3"/>
    </row>
    <row r="19" spans="1:10" ht="49.5" customHeight="1" x14ac:dyDescent="0.2">
      <c r="A19" s="1159" t="s">
        <v>198</v>
      </c>
      <c r="B19" s="1160"/>
      <c r="C19" s="1160"/>
      <c r="D19" s="1160"/>
      <c r="E19" s="1067"/>
      <c r="F19" s="1067"/>
      <c r="G19" s="1111"/>
      <c r="H19" s="874">
        <f>IF('Input Data'!$E$9="e",IF('Input Data'!$F$31&lt;5,E19,IF('Input Data'!$F$31=5,F19,IF('Input Data'!$F$31=6,G19))))</f>
        <v>0</v>
      </c>
      <c r="J19" s="3"/>
    </row>
    <row r="20" spans="1:10" ht="39.950000000000003" customHeight="1" x14ac:dyDescent="0.2">
      <c r="A20" s="1159" t="s">
        <v>207</v>
      </c>
      <c r="B20" s="1160"/>
      <c r="C20" s="1160"/>
      <c r="D20" s="1160"/>
      <c r="E20" s="1067"/>
      <c r="F20" s="1067"/>
      <c r="G20" s="1111"/>
      <c r="H20" s="874">
        <f>IF('Input Data'!$E$9="e",IF('Input Data'!$F$31&lt;5,E20,IF('Input Data'!$F$31=5,F20,IF('Input Data'!$F$31=6,G20))))</f>
        <v>0</v>
      </c>
      <c r="J20" s="3"/>
    </row>
    <row r="21" spans="1:10" ht="48" customHeight="1" thickBot="1" x14ac:dyDescent="0.25">
      <c r="A21" s="1166" t="s">
        <v>206</v>
      </c>
      <c r="B21" s="1264"/>
      <c r="C21" s="1264"/>
      <c r="D21" s="1264"/>
      <c r="E21" s="1067"/>
      <c r="F21" s="1067"/>
      <c r="G21" s="1111"/>
      <c r="H21" s="875">
        <f>IF('Input Data'!$E$9="e",IF('Input Data'!$F$31&lt;5,E21,IF('Input Data'!$F$31=5,F21,IF('Input Data'!$F$31=6,G21))))</f>
        <v>0</v>
      </c>
      <c r="J21" s="3"/>
    </row>
    <row r="22" spans="1:10" ht="51" customHeight="1" thickBot="1" x14ac:dyDescent="0.25">
      <c r="A22" s="1434" t="s">
        <v>306</v>
      </c>
      <c r="B22" s="1435"/>
      <c r="C22" s="1435"/>
      <c r="D22" s="1444"/>
      <c r="E22" s="1112">
        <f>SUM(E14:E21)</f>
        <v>0</v>
      </c>
      <c r="F22" s="1112">
        <f>SUM(F14:F21)</f>
        <v>0</v>
      </c>
      <c r="G22" s="1113">
        <f>SUM(G14:G21)</f>
        <v>0</v>
      </c>
      <c r="H22" s="1094">
        <f>SUM(H14:H21)</f>
        <v>0</v>
      </c>
    </row>
    <row r="23" spans="1:10" ht="41.25" customHeight="1" thickTop="1" thickBot="1" x14ac:dyDescent="0.25">
      <c r="A23" s="1445" t="str">
        <f>IF(C27=6,IF(H22=H28,"","THE VALUE OF ( C) MUST BE THE SAME AS (D)"),"")</f>
        <v/>
      </c>
      <c r="B23" s="1446"/>
      <c r="C23" s="1446"/>
      <c r="D23" s="1447"/>
      <c r="E23" s="1447"/>
      <c r="F23" s="534"/>
      <c r="G23" s="534"/>
      <c r="H23" s="535"/>
    </row>
    <row r="24" spans="1:10" ht="15.75" thickBot="1" x14ac:dyDescent="0.25">
      <c r="A24" s="1438"/>
      <c r="B24" s="1439"/>
      <c r="C24" s="1439"/>
      <c r="D24" s="1439"/>
      <c r="E24" s="318"/>
      <c r="F24" s="319"/>
      <c r="G24" s="320"/>
      <c r="H24" s="321"/>
    </row>
    <row r="25" spans="1:10" ht="63" customHeight="1" thickTop="1" thickBot="1" x14ac:dyDescent="0.25">
      <c r="A25" s="1440" t="s">
        <v>403</v>
      </c>
      <c r="B25" s="1441"/>
      <c r="C25" s="1441"/>
      <c r="D25" s="1442"/>
      <c r="E25" s="1443"/>
      <c r="F25" s="1443"/>
      <c r="G25" s="630" t="s">
        <v>311</v>
      </c>
      <c r="H25" s="636" t="s">
        <v>151</v>
      </c>
    </row>
    <row r="26" spans="1:10" ht="42" customHeight="1" thickTop="1" x14ac:dyDescent="0.2">
      <c r="A26" s="1281" t="s">
        <v>199</v>
      </c>
      <c r="B26" s="1282"/>
      <c r="C26" s="1282"/>
      <c r="D26" s="1282"/>
      <c r="E26" s="1448"/>
      <c r="F26" s="1449"/>
      <c r="G26" s="1095"/>
      <c r="H26" s="878">
        <f>IF('Input Data'!$F$31&gt;4,G26,0)</f>
        <v>0</v>
      </c>
    </row>
    <row r="27" spans="1:10" ht="40.5" customHeight="1" thickBot="1" x14ac:dyDescent="0.25">
      <c r="A27" s="1453" t="s">
        <v>208</v>
      </c>
      <c r="B27" s="1454"/>
      <c r="C27" s="1454"/>
      <c r="D27" s="1454"/>
      <c r="E27" s="1455"/>
      <c r="F27" s="1455"/>
      <c r="G27" s="1096"/>
      <c r="H27" s="879">
        <f>IF('Input Data'!$F$31&gt;4,G27,0)</f>
        <v>0</v>
      </c>
    </row>
    <row r="28" spans="1:10" ht="44.25" customHeight="1" thickBot="1" x14ac:dyDescent="0.25">
      <c r="A28" s="1434" t="s">
        <v>307</v>
      </c>
      <c r="B28" s="1435"/>
      <c r="C28" s="1435"/>
      <c r="D28" s="1436"/>
      <c r="E28" s="1437"/>
      <c r="F28" s="1437"/>
      <c r="G28" s="1097">
        <f>G26+G27</f>
        <v>0</v>
      </c>
      <c r="H28" s="1098">
        <f>H26+H27</f>
        <v>0</v>
      </c>
    </row>
    <row r="29" spans="1:10" ht="15.75" thickTop="1" x14ac:dyDescent="0.2"/>
  </sheetData>
  <sheetProtection password="CD4C" sheet="1" objects="1" scenarios="1"/>
  <customSheetViews>
    <customSheetView guid="{F2EF8C40-5F38-4711-A114-3A47916B87AA}" scale="65" showPageBreaks="1" showRuler="0" topLeftCell="A23">
      <selection activeCell="J25" sqref="J25"/>
      <pageMargins left="0.74803149606299213" right="0.74803149606299213" top="0.78740157480314965" bottom="0.78740157480314965" header="0.51181102362204722" footer="0.51181102362204722"/>
      <printOptions horizontalCentered="1"/>
      <pageSetup paperSize="8" scale="75" orientation="portrait" r:id="rId1"/>
      <headerFooter alignWithMargins="0">
        <oddFooter>&amp;L&amp;F&amp;A]&amp;C&amp;P&amp;R&amp;D</oddFooter>
      </headerFooter>
    </customSheetView>
  </customSheetViews>
  <mergeCells count="23">
    <mergeCell ref="A13:D13"/>
    <mergeCell ref="A27:F27"/>
    <mergeCell ref="A16:D16"/>
    <mergeCell ref="A18:D18"/>
    <mergeCell ref="A19:D19"/>
    <mergeCell ref="A14:D14"/>
    <mergeCell ref="A15:D15"/>
    <mergeCell ref="A17:D17"/>
    <mergeCell ref="A28:F28"/>
    <mergeCell ref="A24:D24"/>
    <mergeCell ref="A25:F25"/>
    <mergeCell ref="A20:D20"/>
    <mergeCell ref="A21:D21"/>
    <mergeCell ref="A22:D22"/>
    <mergeCell ref="A23:E23"/>
    <mergeCell ref="A26:F26"/>
    <mergeCell ref="A8:B8"/>
    <mergeCell ref="C8:D8"/>
    <mergeCell ref="B11:G11"/>
    <mergeCell ref="A10:B10"/>
    <mergeCell ref="B9:D9"/>
    <mergeCell ref="F8:G8"/>
    <mergeCell ref="C10:F10"/>
  </mergeCells>
  <phoneticPr fontId="0" type="noConversion"/>
  <printOptions horizontalCentered="1"/>
  <pageMargins left="0.74803149606299213" right="0.74803149606299213" top="0.78740157480314965" bottom="0.78740157480314965" header="0.51181102362204722" footer="0.51181102362204722"/>
  <pageSetup paperSize="8" scale="59" orientation="portrait" r:id="rId2"/>
  <headerFooter alignWithMargins="0">
    <oddFooter>&amp;L&amp;8&amp;A(&amp;F)&amp;C&amp;P&amp;R&amp;8&amp;D</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J29"/>
  <sheetViews>
    <sheetView topLeftCell="A5" zoomScale="75" zoomScaleNormal="75" zoomScaleSheetLayoutView="70" workbookViewId="0">
      <selection activeCell="G10" sqref="G10"/>
    </sheetView>
  </sheetViews>
  <sheetFormatPr defaultRowHeight="15" x14ac:dyDescent="0.2"/>
  <cols>
    <col min="1" max="1" width="9.88671875" customWidth="1"/>
    <col min="2" max="2" width="10.21875" customWidth="1"/>
    <col min="3" max="3" width="10.5546875" customWidth="1"/>
    <col min="4" max="4" width="22.21875" customWidth="1"/>
    <col min="5" max="5" width="17.33203125" customWidth="1"/>
    <col min="6" max="6" width="17.5546875" customWidth="1"/>
    <col min="7" max="7" width="16.5546875" customWidth="1"/>
    <col min="8" max="8" width="17.109375" customWidth="1"/>
    <col min="9" max="9" width="5.88671875" customWidth="1"/>
    <col min="10" max="10" width="9.44140625" customWidth="1"/>
  </cols>
  <sheetData>
    <row r="1" spans="1:10" ht="15.75" thickTop="1" x14ac:dyDescent="0.2">
      <c r="A1" s="703"/>
      <c r="B1" s="538"/>
      <c r="C1" s="538"/>
      <c r="D1" s="538"/>
      <c r="E1" s="538"/>
      <c r="F1" s="538"/>
      <c r="G1" s="538"/>
      <c r="H1" s="657"/>
    </row>
    <row r="2" spans="1:10" ht="23.25" x14ac:dyDescent="0.2">
      <c r="A2" s="414"/>
      <c r="B2" s="704" t="s">
        <v>144</v>
      </c>
      <c r="C2" s="705"/>
      <c r="D2" s="29"/>
      <c r="E2" s="29"/>
      <c r="F2" s="29"/>
      <c r="G2" s="29"/>
      <c r="H2" s="421"/>
    </row>
    <row r="3" spans="1:10" ht="31.5" customHeight="1" x14ac:dyDescent="0.2">
      <c r="A3" s="789"/>
      <c r="B3" s="790"/>
      <c r="C3" s="790"/>
      <c r="D3" s="1090" t="s">
        <v>410</v>
      </c>
      <c r="E3" s="1090"/>
      <c r="F3" s="1091"/>
      <c r="G3" s="560" t="s">
        <v>142</v>
      </c>
      <c r="H3" s="707">
        <f>'Worked Example'!D27</f>
        <v>41243</v>
      </c>
    </row>
    <row r="4" spans="1:10" ht="29.25" customHeight="1" x14ac:dyDescent="0.2">
      <c r="A4" s="414"/>
      <c r="B4" s="706"/>
      <c r="C4" s="706"/>
      <c r="D4" s="1092" t="str">
        <f>'Input Data'!E3</f>
        <v>ENGINEERING PROJECT:  2012 NDPW FEES</v>
      </c>
      <c r="E4" s="1089"/>
      <c r="F4" s="1089"/>
      <c r="G4" s="1089"/>
      <c r="H4" s="708" t="str">
        <f>'Input Data'!H3</f>
        <v>Version: 1.0  2012-02</v>
      </c>
      <c r="I4" s="623"/>
    </row>
    <row r="5" spans="1:10" x14ac:dyDescent="0.2">
      <c r="A5" s="709"/>
      <c r="B5" s="705"/>
      <c r="C5" s="29"/>
      <c r="D5" s="29"/>
      <c r="E5" s="29"/>
      <c r="F5" s="29"/>
      <c r="G5" s="29"/>
      <c r="H5" s="421"/>
    </row>
    <row r="6" spans="1:10" x14ac:dyDescent="0.2">
      <c r="A6" s="414"/>
      <c r="B6" s="29"/>
      <c r="C6" s="29"/>
      <c r="D6" s="29"/>
      <c r="E6" s="29"/>
      <c r="F6" s="29"/>
      <c r="G6" s="29"/>
      <c r="H6" s="421"/>
    </row>
    <row r="7" spans="1:10" x14ac:dyDescent="0.2">
      <c r="A7" s="414"/>
      <c r="B7" s="29"/>
      <c r="C7" s="29"/>
      <c r="D7" s="29"/>
      <c r="E7" s="710"/>
      <c r="F7" s="29"/>
      <c r="G7" s="710"/>
      <c r="H7" s="421"/>
    </row>
    <row r="8" spans="1:10" ht="18" x14ac:dyDescent="0.2">
      <c r="A8" s="1462" t="s">
        <v>298</v>
      </c>
      <c r="B8" s="1463"/>
      <c r="C8" s="1464">
        <f>'Worked Example'!D5</f>
        <v>79867</v>
      </c>
      <c r="D8" s="1465"/>
      <c r="E8" s="710"/>
      <c r="F8" s="1467" t="s">
        <v>327</v>
      </c>
      <c r="G8" s="1468"/>
      <c r="H8" s="712" t="s">
        <v>146</v>
      </c>
      <c r="I8" s="27"/>
    </row>
    <row r="9" spans="1:10" ht="19.5" x14ac:dyDescent="0.2">
      <c r="A9" s="713"/>
      <c r="B9" s="1428" t="s">
        <v>18</v>
      </c>
      <c r="C9" s="1466"/>
      <c r="D9" s="1466"/>
      <c r="E9" s="714">
        <f>'Worked Example'!D28</f>
        <v>10</v>
      </c>
      <c r="F9" s="29"/>
      <c r="G9" s="29"/>
      <c r="H9" s="715"/>
      <c r="I9" s="27"/>
    </row>
    <row r="10" spans="1:10" ht="15.75" x14ac:dyDescent="0.2">
      <c r="A10" s="1462" t="s">
        <v>379</v>
      </c>
      <c r="B10" s="1322"/>
      <c r="C10" s="1469" t="s">
        <v>367</v>
      </c>
      <c r="D10" s="1470"/>
      <c r="E10" s="1470"/>
      <c r="F10" s="1470"/>
      <c r="G10" s="716"/>
      <c r="H10" s="717"/>
    </row>
    <row r="11" spans="1:10" ht="24" customHeight="1" x14ac:dyDescent="0.2">
      <c r="A11" s="711" t="s">
        <v>289</v>
      </c>
      <c r="B11" s="1459" t="str">
        <f>'Worked Example'!D11</f>
        <v>Nelspruit Police Station</v>
      </c>
      <c r="C11" s="1460"/>
      <c r="D11" s="1460"/>
      <c r="E11" s="1460"/>
      <c r="F11" s="1460"/>
      <c r="G11" s="1461"/>
      <c r="H11" s="1127"/>
    </row>
    <row r="12" spans="1:10" ht="15.75" thickBot="1" x14ac:dyDescent="0.25">
      <c r="A12" s="414"/>
      <c r="B12" s="29"/>
      <c r="C12" s="29"/>
      <c r="D12" s="29"/>
      <c r="E12" s="29"/>
      <c r="F12" s="710"/>
      <c r="G12" s="29"/>
      <c r="H12" s="421"/>
    </row>
    <row r="13" spans="1:10" ht="93.75" customHeight="1" thickTop="1" thickBot="1" x14ac:dyDescent="0.25">
      <c r="A13" s="1450" t="s">
        <v>402</v>
      </c>
      <c r="B13" s="1451"/>
      <c r="C13" s="1451"/>
      <c r="D13" s="1452"/>
      <c r="E13" s="634" t="s">
        <v>404</v>
      </c>
      <c r="F13" s="634" t="s">
        <v>405</v>
      </c>
      <c r="G13" s="634" t="s">
        <v>406</v>
      </c>
      <c r="H13" s="635" t="s">
        <v>151</v>
      </c>
    </row>
    <row r="14" spans="1:10" ht="39.950000000000003" customHeight="1" thickTop="1" x14ac:dyDescent="0.2">
      <c r="A14" s="1166" t="s">
        <v>210</v>
      </c>
      <c r="B14" s="1167"/>
      <c r="C14" s="1167"/>
      <c r="D14" s="1167"/>
      <c r="E14" s="882">
        <v>1000000</v>
      </c>
      <c r="F14" s="882">
        <v>1000000</v>
      </c>
      <c r="G14" s="882">
        <v>1000000</v>
      </c>
      <c r="H14" s="873">
        <v>1000000</v>
      </c>
      <c r="J14" s="3"/>
    </row>
    <row r="15" spans="1:10" ht="39.950000000000003" customHeight="1" x14ac:dyDescent="0.2">
      <c r="A15" s="1159" t="s">
        <v>196</v>
      </c>
      <c r="B15" s="1162"/>
      <c r="C15" s="1162"/>
      <c r="D15" s="1162"/>
      <c r="E15" s="882">
        <v>200000</v>
      </c>
      <c r="F15" s="882">
        <v>200000</v>
      </c>
      <c r="G15" s="882">
        <v>200000</v>
      </c>
      <c r="H15" s="874">
        <v>200000</v>
      </c>
      <c r="J15" s="3"/>
    </row>
    <row r="16" spans="1:10" ht="39.950000000000003" customHeight="1" x14ac:dyDescent="0.2">
      <c r="A16" s="1159" t="s">
        <v>204</v>
      </c>
      <c r="B16" s="1160"/>
      <c r="C16" s="1160"/>
      <c r="D16" s="1160"/>
      <c r="E16" s="882">
        <v>300000</v>
      </c>
      <c r="F16" s="882">
        <v>300000</v>
      </c>
      <c r="G16" s="882">
        <v>300000</v>
      </c>
      <c r="H16" s="874">
        <v>300000</v>
      </c>
      <c r="J16" s="3"/>
    </row>
    <row r="17" spans="1:10" ht="51" customHeight="1" x14ac:dyDescent="0.2">
      <c r="A17" s="1159" t="s">
        <v>197</v>
      </c>
      <c r="B17" s="1162"/>
      <c r="C17" s="1162"/>
      <c r="D17" s="1162"/>
      <c r="E17" s="882">
        <v>400000</v>
      </c>
      <c r="F17" s="882">
        <v>400000</v>
      </c>
      <c r="G17" s="882">
        <v>400000</v>
      </c>
      <c r="H17" s="874">
        <v>400000</v>
      </c>
      <c r="J17" s="3"/>
    </row>
    <row r="18" spans="1:10" ht="48" customHeight="1" x14ac:dyDescent="0.2">
      <c r="A18" s="1159" t="s">
        <v>205</v>
      </c>
      <c r="B18" s="1160"/>
      <c r="C18" s="1160"/>
      <c r="D18" s="1160"/>
      <c r="E18" s="882">
        <v>500000</v>
      </c>
      <c r="F18" s="882">
        <v>500000</v>
      </c>
      <c r="G18" s="882">
        <v>500000</v>
      </c>
      <c r="H18" s="874">
        <v>500000</v>
      </c>
      <c r="J18" s="3"/>
    </row>
    <row r="19" spans="1:10" ht="49.5" customHeight="1" x14ac:dyDescent="0.2">
      <c r="A19" s="1159" t="s">
        <v>198</v>
      </c>
      <c r="B19" s="1160"/>
      <c r="C19" s="1160"/>
      <c r="D19" s="1160"/>
      <c r="E19" s="882">
        <v>600000</v>
      </c>
      <c r="F19" s="882">
        <v>600000</v>
      </c>
      <c r="G19" s="882">
        <v>600000</v>
      </c>
      <c r="H19" s="874">
        <v>600000</v>
      </c>
      <c r="J19" s="3"/>
    </row>
    <row r="20" spans="1:10" ht="39.950000000000003" customHeight="1" x14ac:dyDescent="0.2">
      <c r="A20" s="1159" t="s">
        <v>207</v>
      </c>
      <c r="B20" s="1160"/>
      <c r="C20" s="1160"/>
      <c r="D20" s="1160"/>
      <c r="E20" s="882">
        <v>700000</v>
      </c>
      <c r="F20" s="882">
        <v>700000</v>
      </c>
      <c r="G20" s="882">
        <v>700000</v>
      </c>
      <c r="H20" s="874">
        <v>700000</v>
      </c>
      <c r="J20" s="3"/>
    </row>
    <row r="21" spans="1:10" ht="48" customHeight="1" thickBot="1" x14ac:dyDescent="0.25">
      <c r="A21" s="1166" t="s">
        <v>206</v>
      </c>
      <c r="B21" s="1264"/>
      <c r="C21" s="1264"/>
      <c r="D21" s="1264"/>
      <c r="E21" s="882">
        <v>800000</v>
      </c>
      <c r="F21" s="882">
        <v>800000</v>
      </c>
      <c r="G21" s="882">
        <v>800000</v>
      </c>
      <c r="H21" s="875">
        <v>800000</v>
      </c>
      <c r="J21" s="3"/>
    </row>
    <row r="22" spans="1:10" ht="51" customHeight="1" thickBot="1" x14ac:dyDescent="0.25">
      <c r="A22" s="1434" t="s">
        <v>306</v>
      </c>
      <c r="B22" s="1435"/>
      <c r="C22" s="1435"/>
      <c r="D22" s="1458"/>
      <c r="E22" s="876">
        <v>4500000</v>
      </c>
      <c r="F22" s="876">
        <v>4500000</v>
      </c>
      <c r="G22" s="876">
        <v>4500000</v>
      </c>
      <c r="H22" s="877">
        <v>4500000</v>
      </c>
    </row>
    <row r="23" spans="1:10" ht="41.25" customHeight="1" thickTop="1" thickBot="1" x14ac:dyDescent="0.25">
      <c r="A23" s="1445" t="s">
        <v>411</v>
      </c>
      <c r="B23" s="1446"/>
      <c r="C23" s="1446"/>
      <c r="D23" s="1447"/>
      <c r="E23" s="1447"/>
      <c r="F23" s="534"/>
      <c r="G23" s="534"/>
      <c r="H23" s="535"/>
    </row>
    <row r="24" spans="1:10" ht="15.75" thickBot="1" x14ac:dyDescent="0.25">
      <c r="A24" s="1438"/>
      <c r="B24" s="1439"/>
      <c r="C24" s="1439"/>
      <c r="D24" s="1439"/>
      <c r="E24" s="318"/>
      <c r="F24" s="319"/>
      <c r="G24" s="320"/>
      <c r="H24" s="321"/>
    </row>
    <row r="25" spans="1:10" ht="63" customHeight="1" thickTop="1" thickBot="1" x14ac:dyDescent="0.25">
      <c r="A25" s="1440" t="s">
        <v>409</v>
      </c>
      <c r="B25" s="1441"/>
      <c r="C25" s="1441"/>
      <c r="D25" s="1442"/>
      <c r="E25" s="1457"/>
      <c r="F25" s="1457"/>
      <c r="G25" s="630" t="s">
        <v>311</v>
      </c>
      <c r="H25" s="636" t="s">
        <v>151</v>
      </c>
    </row>
    <row r="26" spans="1:10" ht="42" customHeight="1" thickTop="1" x14ac:dyDescent="0.2">
      <c r="A26" s="1281" t="s">
        <v>199</v>
      </c>
      <c r="B26" s="1282"/>
      <c r="C26" s="1282"/>
      <c r="D26" s="1282"/>
      <c r="E26" s="1283"/>
      <c r="F26" s="1284"/>
      <c r="G26" s="883">
        <v>2000000</v>
      </c>
      <c r="H26" s="878">
        <v>2000000</v>
      </c>
    </row>
    <row r="27" spans="1:10" ht="40.5" customHeight="1" thickBot="1" x14ac:dyDescent="0.25">
      <c r="A27" s="1453" t="s">
        <v>208</v>
      </c>
      <c r="B27" s="1454"/>
      <c r="C27" s="1454"/>
      <c r="D27" s="1454"/>
      <c r="E27" s="1454"/>
      <c r="F27" s="1454"/>
      <c r="G27" s="884">
        <v>2500000</v>
      </c>
      <c r="H27" s="879">
        <v>2500000</v>
      </c>
    </row>
    <row r="28" spans="1:10" ht="44.25" customHeight="1" thickBot="1" x14ac:dyDescent="0.25">
      <c r="A28" s="1434" t="s">
        <v>307</v>
      </c>
      <c r="B28" s="1435"/>
      <c r="C28" s="1435"/>
      <c r="D28" s="1436"/>
      <c r="E28" s="1456"/>
      <c r="F28" s="1456"/>
      <c r="G28" s="880">
        <v>4500000</v>
      </c>
      <c r="H28" s="881">
        <v>4500000</v>
      </c>
    </row>
    <row r="29" spans="1:10" ht="15.75" thickTop="1" x14ac:dyDescent="0.2"/>
  </sheetData>
  <sheetProtection password="CD4C" sheet="1" objects="1" scenarios="1"/>
  <mergeCells count="23">
    <mergeCell ref="B11:G11"/>
    <mergeCell ref="A8:B8"/>
    <mergeCell ref="C8:D8"/>
    <mergeCell ref="A10:B10"/>
    <mergeCell ref="B9:D9"/>
    <mergeCell ref="F8:G8"/>
    <mergeCell ref="C10:F10"/>
    <mergeCell ref="A28:F28"/>
    <mergeCell ref="A24:D24"/>
    <mergeCell ref="A25:F25"/>
    <mergeCell ref="A20:D20"/>
    <mergeCell ref="A21:D21"/>
    <mergeCell ref="A22:D22"/>
    <mergeCell ref="A23:E23"/>
    <mergeCell ref="A26:F26"/>
    <mergeCell ref="A27:F27"/>
    <mergeCell ref="A13:D13"/>
    <mergeCell ref="A16:D16"/>
    <mergeCell ref="A18:D18"/>
    <mergeCell ref="A19:D19"/>
    <mergeCell ref="A14:D14"/>
    <mergeCell ref="A15:D15"/>
    <mergeCell ref="A17:D17"/>
  </mergeCells>
  <phoneticPr fontId="0" type="noConversion"/>
  <printOptions horizontalCentered="1"/>
  <pageMargins left="0.74803149606299213" right="0.74803149606299213" top="0.78740157480314965" bottom="0.78740157480314965" header="0.51181102362204722" footer="0.51181102362204722"/>
  <pageSetup paperSize="8" scale="61" orientation="portrait" r:id="rId1"/>
  <headerFooter alignWithMargins="0">
    <oddFooter>&amp;L&amp;8&amp;A(&amp;F)&amp;C&amp;P&amp;R&amp;8&amp;D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U58"/>
  <sheetViews>
    <sheetView zoomScale="70" zoomScaleNormal="75" zoomScaleSheetLayoutView="75" workbookViewId="0">
      <selection activeCell="O23" sqref="O23"/>
    </sheetView>
  </sheetViews>
  <sheetFormatPr defaultRowHeight="15" x14ac:dyDescent="0.2"/>
  <cols>
    <col min="1" max="1" width="13.33203125" customWidth="1"/>
    <col min="2" max="2" width="17.21875" customWidth="1"/>
    <col min="3" max="3" width="5.6640625" customWidth="1"/>
    <col min="4" max="4" width="5" customWidth="1"/>
    <col min="5" max="5" width="4.5546875" customWidth="1"/>
    <col min="6" max="6" width="3.33203125" customWidth="1"/>
    <col min="7" max="7" width="4.6640625" customWidth="1"/>
    <col min="8" max="8" width="2.44140625" customWidth="1"/>
    <col min="9" max="9" width="4.88671875" customWidth="1"/>
    <col min="10" max="10" width="1.88671875" customWidth="1"/>
    <col min="11" max="11" width="5.33203125" customWidth="1"/>
    <col min="12" max="12" width="3" customWidth="1"/>
    <col min="13" max="13" width="12.21875" customWidth="1"/>
    <col min="14" max="14" width="3.21875" customWidth="1"/>
    <col min="15" max="15" width="13.88671875" customWidth="1"/>
    <col min="16" max="16" width="2.77734375" customWidth="1"/>
    <col min="17" max="17" width="12" customWidth="1"/>
    <col min="18" max="18" width="2.88671875" customWidth="1"/>
    <col min="19" max="19" width="18.77734375" customWidth="1"/>
  </cols>
  <sheetData>
    <row r="1" spans="1:21" ht="27" customHeight="1" thickTop="1" x14ac:dyDescent="0.2">
      <c r="A1" s="496"/>
      <c r="B1" s="611"/>
      <c r="C1" s="611"/>
      <c r="D1" s="611"/>
      <c r="E1" s="1471" t="s">
        <v>333</v>
      </c>
      <c r="F1" s="1471"/>
      <c r="G1" s="1471"/>
      <c r="H1" s="1471"/>
      <c r="I1" s="1471"/>
      <c r="J1" s="1471"/>
      <c r="K1" s="1471"/>
      <c r="L1" s="1471"/>
      <c r="M1" s="1471"/>
      <c r="N1" s="1471"/>
      <c r="O1" s="1471"/>
      <c r="P1" s="1471"/>
      <c r="Q1" s="1471"/>
      <c r="R1" s="1471"/>
      <c r="S1" s="1472"/>
    </row>
    <row r="2" spans="1:21" ht="27" customHeight="1" x14ac:dyDescent="0.2">
      <c r="A2" s="499"/>
      <c r="B2" s="612"/>
      <c r="C2" s="612"/>
      <c r="D2" s="612"/>
      <c r="E2" s="160"/>
      <c r="F2" s="161"/>
      <c r="G2" s="161"/>
      <c r="H2" s="161"/>
      <c r="I2" s="450" t="str">
        <f>'Input Data'!E2</f>
        <v xml:space="preserve">STRUCTURAL ENGINEERING  </v>
      </c>
      <c r="K2" s="450"/>
      <c r="L2" s="450"/>
      <c r="M2" s="450"/>
      <c r="N2" s="450"/>
      <c r="O2" s="450"/>
      <c r="P2" s="450"/>
      <c r="Q2" s="124"/>
      <c r="R2" s="124"/>
      <c r="S2" s="130"/>
    </row>
    <row r="3" spans="1:21" ht="27" customHeight="1" x14ac:dyDescent="0.2">
      <c r="A3" s="613"/>
      <c r="B3" s="614"/>
      <c r="C3" s="614"/>
      <c r="D3" s="614"/>
      <c r="E3" s="162"/>
      <c r="F3" s="131"/>
      <c r="G3" s="131"/>
      <c r="H3" s="131"/>
      <c r="I3" s="131"/>
      <c r="J3" s="131"/>
      <c r="K3" s="1473" t="str">
        <f>'Input Data'!E3</f>
        <v>ENGINEERING PROJECT:  2012 NDPW FEES</v>
      </c>
      <c r="L3" s="1474"/>
      <c r="M3" s="1474"/>
      <c r="N3" s="1474"/>
      <c r="O3" s="1474"/>
      <c r="P3" s="1475"/>
      <c r="Q3" s="1475"/>
      <c r="R3" s="29"/>
      <c r="S3" s="655" t="str">
        <f>'Input Data'!H3</f>
        <v>Version: 1.0  2012-02</v>
      </c>
    </row>
    <row r="4" spans="1:21" ht="27" customHeight="1" x14ac:dyDescent="0.2">
      <c r="A4" s="128"/>
      <c r="B4" s="124"/>
      <c r="C4" s="29"/>
      <c r="D4" s="29"/>
      <c r="E4" s="29"/>
      <c r="F4" s="29"/>
      <c r="G4" s="29"/>
      <c r="H4" s="29"/>
      <c r="I4" s="29"/>
      <c r="J4" s="29"/>
      <c r="K4" s="124"/>
      <c r="L4" s="124"/>
      <c r="M4" s="124"/>
      <c r="N4" s="124"/>
      <c r="O4" s="124"/>
      <c r="P4" s="124"/>
      <c r="Q4" s="124"/>
      <c r="R4" s="422"/>
      <c r="S4" s="423"/>
    </row>
    <row r="5" spans="1:21" ht="20.25" customHeight="1" x14ac:dyDescent="0.2">
      <c r="A5" s="437"/>
      <c r="B5" s="382" t="s">
        <v>18</v>
      </c>
      <c r="C5" s="650">
        <f>'Input Data'!D28</f>
        <v>0</v>
      </c>
      <c r="D5" s="275"/>
      <c r="E5" s="124"/>
      <c r="F5" s="615"/>
      <c r="G5" s="124"/>
      <c r="H5" s="615"/>
      <c r="I5" s="615"/>
      <c r="J5" s="615"/>
      <c r="K5" s="615"/>
      <c r="L5" s="19"/>
      <c r="M5" s="19"/>
      <c r="N5" s="19"/>
      <c r="O5" s="124"/>
      <c r="P5" s="22"/>
      <c r="Q5" s="22"/>
      <c r="R5" s="386" t="s">
        <v>142</v>
      </c>
      <c r="S5" s="656">
        <f>'Input Data'!D27</f>
        <v>0</v>
      </c>
      <c r="T5" s="644"/>
      <c r="U5" s="413"/>
    </row>
    <row r="6" spans="1:21" ht="18" x14ac:dyDescent="0.2">
      <c r="A6" s="400" t="s">
        <v>297</v>
      </c>
      <c r="B6" s="1464">
        <f>'Input Data'!D5</f>
        <v>0</v>
      </c>
      <c r="C6" s="1465"/>
      <c r="D6" s="1465"/>
      <c r="E6" s="399"/>
      <c r="F6" s="399"/>
      <c r="G6" s="399"/>
      <c r="H6" s="399"/>
      <c r="I6" s="1476" t="str">
        <f>'Input Data'!D31</f>
        <v>INCEPTION</v>
      </c>
      <c r="J6" s="1477"/>
      <c r="K6" s="1477"/>
      <c r="L6" s="1477"/>
      <c r="M6" s="1477"/>
      <c r="N6" s="1477"/>
      <c r="O6" s="1478"/>
      <c r="P6" s="1171"/>
      <c r="Q6" s="1116" t="s">
        <v>146</v>
      </c>
      <c r="R6" s="19"/>
      <c r="S6" s="107"/>
    </row>
    <row r="7" spans="1:21" x14ac:dyDescent="0.2">
      <c r="A7" s="128"/>
      <c r="B7" s="124"/>
      <c r="C7" s="124"/>
      <c r="D7" s="642"/>
      <c r="E7" s="642"/>
      <c r="F7" s="642"/>
      <c r="G7" s="642"/>
      <c r="H7" s="642"/>
      <c r="I7" s="642"/>
      <c r="J7" s="642"/>
      <c r="K7" s="642"/>
      <c r="L7" s="642"/>
      <c r="M7" s="642"/>
      <c r="N7" s="642"/>
      <c r="O7" s="642"/>
      <c r="P7" s="642"/>
      <c r="Q7" s="642"/>
      <c r="R7" s="642"/>
      <c r="S7" s="643"/>
    </row>
    <row r="8" spans="1:21" ht="22.5" customHeight="1" x14ac:dyDescent="0.2">
      <c r="A8" s="400" t="s">
        <v>19</v>
      </c>
      <c r="B8" s="1485">
        <f>'Input Data'!D11</f>
        <v>0</v>
      </c>
      <c r="C8" s="1486"/>
      <c r="D8" s="1486"/>
      <c r="E8" s="1486"/>
      <c r="F8" s="1486"/>
      <c r="G8" s="1486"/>
      <c r="H8" s="1486"/>
      <c r="I8" s="1486"/>
      <c r="J8" s="1486"/>
      <c r="K8" s="1486"/>
      <c r="L8" s="1486"/>
      <c r="M8" s="1486"/>
      <c r="N8" s="1486"/>
      <c r="O8" s="1486"/>
      <c r="P8" s="1486"/>
      <c r="Q8" s="1486"/>
      <c r="R8" s="1486"/>
      <c r="S8" s="421"/>
    </row>
    <row r="9" spans="1:21" ht="22.5" customHeight="1" x14ac:dyDescent="0.2">
      <c r="A9" s="400"/>
      <c r="B9" s="654"/>
      <c r="C9" s="640"/>
      <c r="D9" s="640"/>
      <c r="E9" s="640"/>
      <c r="F9" s="640"/>
      <c r="G9" s="640"/>
      <c r="H9" s="640"/>
      <c r="I9" s="640"/>
      <c r="J9" s="640"/>
      <c r="K9" s="640"/>
      <c r="L9" s="640"/>
      <c r="M9" s="640"/>
      <c r="N9" s="640"/>
      <c r="O9" s="640"/>
      <c r="P9" s="640"/>
      <c r="Q9" s="640"/>
      <c r="R9" s="640"/>
      <c r="S9" s="421"/>
    </row>
    <row r="10" spans="1:21" x14ac:dyDescent="0.2">
      <c r="A10" s="111"/>
      <c r="B10" s="386" t="s">
        <v>407</v>
      </c>
      <c r="C10" s="1492">
        <f>'Input Data'!D12</f>
        <v>0</v>
      </c>
      <c r="D10" s="1426"/>
      <c r="E10" s="1426"/>
      <c r="F10" s="1426"/>
      <c r="G10" s="1426"/>
      <c r="H10" s="1426"/>
      <c r="I10" s="1426"/>
      <c r="J10" s="1426"/>
      <c r="K10" s="1426"/>
      <c r="L10" s="1426"/>
      <c r="M10" s="1426"/>
      <c r="N10" s="1426"/>
      <c r="O10" s="1426"/>
      <c r="P10" s="1426"/>
      <c r="Q10" s="645"/>
      <c r="R10" s="9"/>
      <c r="S10" s="107"/>
    </row>
    <row r="11" spans="1:21" x14ac:dyDescent="0.2">
      <c r="A11" s="111"/>
      <c r="B11" s="386"/>
      <c r="C11" s="641"/>
      <c r="D11" s="124"/>
      <c r="E11" s="124"/>
      <c r="F11" s="124"/>
      <c r="G11" s="124"/>
      <c r="H11" s="124"/>
      <c r="I11" s="124"/>
      <c r="J11" s="124"/>
      <c r="K11" s="124"/>
      <c r="L11" s="124"/>
      <c r="M11" s="124"/>
      <c r="N11" s="124"/>
      <c r="O11" s="124"/>
      <c r="P11" s="124"/>
      <c r="Q11" s="645"/>
      <c r="R11" s="9"/>
      <c r="S11" s="107"/>
    </row>
    <row r="12" spans="1:21" x14ac:dyDescent="0.2">
      <c r="A12" s="128"/>
      <c r="B12" s="653" t="s">
        <v>20</v>
      </c>
      <c r="C12" s="1490">
        <f>'Input Data'!D30</f>
        <v>0</v>
      </c>
      <c r="D12" s="1491"/>
      <c r="E12" s="1491"/>
      <c r="F12" s="1491"/>
      <c r="G12" s="1491"/>
      <c r="H12" s="1491"/>
      <c r="I12" s="112"/>
      <c r="J12" s="112"/>
      <c r="K12" s="113"/>
      <c r="L12" s="23"/>
      <c r="M12" s="29"/>
      <c r="N12" s="109"/>
      <c r="O12" s="1479"/>
      <c r="P12" s="1480"/>
      <c r="Q12" s="1387"/>
      <c r="R12" s="29"/>
      <c r="S12" s="114"/>
    </row>
    <row r="13" spans="1:21" ht="8.25" customHeight="1" thickBot="1" x14ac:dyDescent="0.25">
      <c r="A13" s="115"/>
      <c r="B13" s="54"/>
      <c r="C13" s="116"/>
      <c r="D13" s="26"/>
      <c r="E13" s="26"/>
      <c r="F13" s="26"/>
      <c r="G13" s="26"/>
      <c r="H13" s="26"/>
      <c r="I13" s="26"/>
      <c r="J13" s="26"/>
      <c r="K13" s="117"/>
      <c r="L13" s="117"/>
      <c r="M13" s="26"/>
      <c r="N13" s="118"/>
      <c r="O13" s="54"/>
      <c r="P13" s="72"/>
      <c r="Q13" s="119"/>
      <c r="R13" s="54"/>
      <c r="S13" s="108"/>
    </row>
    <row r="14" spans="1:21" ht="15.75" customHeight="1" thickTop="1" x14ac:dyDescent="0.2">
      <c r="A14" s="1483"/>
      <c r="B14" s="1484"/>
      <c r="C14" s="1484"/>
      <c r="D14" s="1484"/>
      <c r="E14" s="1484"/>
      <c r="F14" s="1484"/>
      <c r="G14" s="1484"/>
      <c r="H14" s="1484"/>
      <c r="I14" s="1484"/>
      <c r="J14" s="1484"/>
      <c r="K14" s="1484"/>
      <c r="L14" s="1484"/>
      <c r="M14" s="497"/>
      <c r="N14" s="1495" t="s">
        <v>140</v>
      </c>
      <c r="O14" s="1496"/>
      <c r="P14" s="1496"/>
      <c r="Q14" s="1496"/>
      <c r="R14" s="1497"/>
      <c r="S14" s="885">
        <f>IF('Input Data'!$E$38=1,80%*'Input Data'!$H$48,'Input Data'!$H$48)</f>
        <v>0</v>
      </c>
    </row>
    <row r="15" spans="1:21" ht="15.75" thickBot="1" x14ac:dyDescent="0.25">
      <c r="A15" s="110"/>
      <c r="B15" s="54"/>
      <c r="C15" s="54"/>
      <c r="D15" s="54"/>
      <c r="E15" s="54"/>
      <c r="F15" s="54"/>
      <c r="G15" s="54"/>
      <c r="H15" s="54"/>
      <c r="I15" s="54"/>
      <c r="J15" s="54"/>
      <c r="K15" s="54"/>
      <c r="L15" s="54"/>
      <c r="M15" s="498"/>
      <c r="N15" s="1481" t="s">
        <v>141</v>
      </c>
      <c r="O15" s="1482"/>
      <c r="P15" s="1482"/>
      <c r="Q15" s="1482"/>
      <c r="R15" s="1482"/>
      <c r="S15" s="886">
        <f>IF('Input Data'!E34="y",IF('Input Data'!$E$38=1,80%*'Input Data'!$H$51,'Input Data'!$H$51),0)</f>
        <v>0</v>
      </c>
    </row>
    <row r="16" spans="1:21" ht="27.75" customHeight="1" thickTop="1" x14ac:dyDescent="0.2">
      <c r="A16" s="145" t="s">
        <v>152</v>
      </c>
      <c r="B16" s="34"/>
      <c r="C16" s="34"/>
      <c r="D16" s="34"/>
      <c r="E16" s="34"/>
      <c r="F16" s="34"/>
      <c r="G16" s="34"/>
      <c r="H16" s="34"/>
      <c r="I16" s="34"/>
      <c r="J16" s="34"/>
      <c r="K16" s="34"/>
      <c r="L16" s="34"/>
      <c r="M16" s="34"/>
      <c r="N16" s="34"/>
      <c r="O16" s="34"/>
      <c r="P16" s="34"/>
      <c r="Q16" s="34"/>
      <c r="R16" s="34"/>
      <c r="S16" s="887"/>
    </row>
    <row r="17" spans="1:19" ht="15.75" x14ac:dyDescent="0.2">
      <c r="A17" s="120"/>
      <c r="B17" s="20"/>
      <c r="C17" s="20"/>
      <c r="D17" s="20"/>
      <c r="E17" s="20"/>
      <c r="F17" s="20"/>
      <c r="G17" s="20"/>
      <c r="H17" s="20"/>
      <c r="I17" s="20"/>
      <c r="J17" s="20"/>
      <c r="K17" s="20"/>
      <c r="L17" s="20"/>
      <c r="M17" s="20"/>
      <c r="N17" s="20"/>
      <c r="O17" s="20"/>
      <c r="P17" s="20"/>
      <c r="Q17" s="20"/>
      <c r="R17" s="20"/>
      <c r="S17" s="836"/>
    </row>
    <row r="18" spans="1:19" x14ac:dyDescent="0.2">
      <c r="A18" s="136" t="s">
        <v>27</v>
      </c>
      <c r="B18" s="19"/>
      <c r="C18" s="20"/>
      <c r="D18" s="36"/>
      <c r="E18" s="36"/>
      <c r="F18" s="36"/>
      <c r="G18" s="36"/>
      <c r="H18" s="36"/>
      <c r="I18" s="36"/>
      <c r="J18" s="36"/>
      <c r="K18" s="37"/>
      <c r="L18" s="38"/>
      <c r="M18" s="25">
        <f>'Civ_Struct_Eng_Tax Invoice '!K115</f>
        <v>0</v>
      </c>
      <c r="N18" s="121" t="s">
        <v>121</v>
      </c>
      <c r="O18" s="39">
        <f>'Civ_Struct_Eng_Tax Invoice '!M115</f>
        <v>0.125</v>
      </c>
      <c r="P18" s="40" t="s">
        <v>1</v>
      </c>
      <c r="Q18" s="41">
        <f>'Civ_Struct_Eng_Tax Invoice '!O115</f>
        <v>0</v>
      </c>
      <c r="R18" s="42" t="s">
        <v>3</v>
      </c>
      <c r="S18" s="841">
        <f>IF('Input Data'!$H$48&gt;'Input Data'!$H$21,(M18+O18*Q18),0)</f>
        <v>0</v>
      </c>
    </row>
    <row r="19" spans="1:19" x14ac:dyDescent="0.2">
      <c r="A19" s="44"/>
      <c r="B19" s="19"/>
      <c r="C19" s="20"/>
      <c r="D19" s="45"/>
      <c r="E19" s="45"/>
      <c r="F19" s="45"/>
      <c r="G19" s="45"/>
      <c r="H19" s="45"/>
      <c r="I19" s="45"/>
      <c r="J19" s="45"/>
      <c r="K19" s="20"/>
      <c r="L19" s="20"/>
      <c r="M19" s="25"/>
      <c r="N19" s="25"/>
      <c r="O19" s="48"/>
      <c r="P19" s="40"/>
      <c r="Q19" s="25"/>
      <c r="R19" s="25"/>
      <c r="S19" s="836"/>
    </row>
    <row r="20" spans="1:19" ht="15.75" thickBot="1" x14ac:dyDescent="0.25">
      <c r="A20" s="53"/>
      <c r="B20" s="54"/>
      <c r="C20" s="55"/>
      <c r="D20" s="56"/>
      <c r="E20" s="56"/>
      <c r="F20" s="56"/>
      <c r="G20" s="56"/>
      <c r="H20" s="56"/>
      <c r="I20" s="56"/>
      <c r="J20" s="56"/>
      <c r="K20" s="55"/>
      <c r="L20" s="55"/>
      <c r="M20" s="57"/>
      <c r="N20" s="58"/>
      <c r="O20" s="59"/>
      <c r="P20" s="60"/>
      <c r="Q20" s="58"/>
      <c r="R20" s="58"/>
      <c r="S20" s="888"/>
    </row>
    <row r="21" spans="1:19" ht="25.5" customHeight="1" thickTop="1" x14ac:dyDescent="0.2">
      <c r="A21" s="33" t="s">
        <v>317</v>
      </c>
      <c r="B21" s="19"/>
      <c r="C21" s="20"/>
      <c r="D21" s="45"/>
      <c r="E21" s="45"/>
      <c r="F21" s="45"/>
      <c r="G21" s="45"/>
      <c r="H21" s="45"/>
      <c r="I21" s="45"/>
      <c r="J21" s="45"/>
      <c r="K21" s="20"/>
      <c r="L21" s="20"/>
      <c r="M21" s="46"/>
      <c r="N21" s="25"/>
      <c r="O21" s="48"/>
      <c r="P21" s="40"/>
      <c r="Q21" s="25"/>
      <c r="R21" s="25"/>
      <c r="S21" s="836"/>
    </row>
    <row r="22" spans="1:19" ht="15.75" x14ac:dyDescent="0.2">
      <c r="A22" s="122"/>
      <c r="B22" s="19"/>
      <c r="C22" s="20"/>
      <c r="D22" s="45"/>
      <c r="E22" s="45"/>
      <c r="F22" s="45"/>
      <c r="G22" s="45"/>
      <c r="H22" s="45"/>
      <c r="I22" s="45"/>
      <c r="J22" s="45"/>
      <c r="K22" s="20"/>
      <c r="L22" s="20"/>
      <c r="M22" s="46"/>
      <c r="N22" s="25"/>
      <c r="O22" s="48"/>
      <c r="P22" s="40"/>
      <c r="Q22" s="25"/>
      <c r="R22" s="25"/>
      <c r="S22" s="836"/>
    </row>
    <row r="23" spans="1:19" ht="15" customHeight="1" x14ac:dyDescent="0.2">
      <c r="A23" s="1401" t="s">
        <v>176</v>
      </c>
      <c r="B23" s="1391"/>
      <c r="C23" s="1391"/>
      <c r="D23" s="19"/>
      <c r="E23" s="19"/>
      <c r="F23" s="19"/>
      <c r="G23" s="19"/>
      <c r="H23" s="19"/>
      <c r="I23" s="19"/>
      <c r="J23" s="19"/>
      <c r="K23" s="19"/>
      <c r="L23" s="36"/>
      <c r="M23" s="49">
        <f>IF('Input Data'!$F$31=1,0.05,IF('Input Data'!$F$31=2,Scales!$L$5,IF('Input Data'!$F$31=3,Scales!$L$6,IF('Input Data'!$F$31=4,Scales!$L$7,0.7))))</f>
        <v>0.05</v>
      </c>
      <c r="N23" s="42" t="s">
        <v>2</v>
      </c>
      <c r="O23" s="855">
        <f>'WTW Input'!$H$14</f>
        <v>0</v>
      </c>
      <c r="P23" s="854" t="s">
        <v>25</v>
      </c>
      <c r="Q23" s="855">
        <f>IF('WTW Input'!$H$14&gt;0,$S$18,0)</f>
        <v>0</v>
      </c>
      <c r="R23" s="46"/>
      <c r="S23" s="836">
        <f>IF('WTW Input'!$H$14&gt;0,IF('Input Data'!$D$33="N",(M23*O23/O24*Q23),0),0)</f>
        <v>0</v>
      </c>
    </row>
    <row r="24" spans="1:19" ht="15" customHeight="1" x14ac:dyDescent="0.2">
      <c r="A24" s="1395"/>
      <c r="B24" s="1391"/>
      <c r="C24" s="1391"/>
      <c r="D24" s="19"/>
      <c r="E24" s="19"/>
      <c r="F24" s="19"/>
      <c r="G24" s="19"/>
      <c r="H24" s="19"/>
      <c r="I24" s="19"/>
      <c r="J24" s="19"/>
      <c r="K24" s="62"/>
      <c r="L24" s="45"/>
      <c r="M24" s="49"/>
      <c r="N24" s="25"/>
      <c r="O24" s="853">
        <f>IF('WTW Input'!$H$14&gt;0,'Input Data'!$H$48,0)</f>
        <v>0</v>
      </c>
      <c r="P24" s="854"/>
      <c r="Q24" s="855"/>
      <c r="R24" s="46"/>
      <c r="S24" s="836"/>
    </row>
    <row r="25" spans="1:19" ht="15" customHeight="1" x14ac:dyDescent="0.2">
      <c r="A25" s="63"/>
      <c r="B25" s="64"/>
      <c r="C25" s="19"/>
      <c r="D25" s="19"/>
      <c r="E25" s="19"/>
      <c r="F25" s="19"/>
      <c r="G25" s="19"/>
      <c r="H25" s="19"/>
      <c r="I25" s="19"/>
      <c r="J25" s="19"/>
      <c r="K25" s="65"/>
      <c r="L25" s="50"/>
      <c r="M25" s="66"/>
      <c r="N25" s="67"/>
      <c r="O25" s="856"/>
      <c r="P25" s="857"/>
      <c r="Q25" s="856"/>
      <c r="R25" s="67"/>
      <c r="S25" s="818"/>
    </row>
    <row r="26" spans="1:19" ht="15" customHeight="1" x14ac:dyDescent="0.2">
      <c r="A26" s="1385" t="s">
        <v>170</v>
      </c>
      <c r="B26" s="1390"/>
      <c r="C26" s="1390"/>
      <c r="D26" s="1390"/>
      <c r="E26" s="137"/>
      <c r="F26" s="137"/>
      <c r="G26" s="9"/>
      <c r="H26" s="9"/>
      <c r="I26" s="19"/>
      <c r="J26" s="36"/>
      <c r="K26" s="65">
        <f>IF('WTW Input'!$H$15&gt;0,0.25,0)</f>
        <v>0</v>
      </c>
      <c r="L26" s="36" t="s">
        <v>1</v>
      </c>
      <c r="M26" s="49">
        <f>IF('Input Data'!$F$31=1,0.05,IF('Input Data'!$F$31=2,Scales!$L$5,IF('Input Data'!$F$31=3,Scales!$L$6,IF('Input Data'!$F$31=4,Scales!$L$7,0.7))))</f>
        <v>0.05</v>
      </c>
      <c r="N26" s="42" t="s">
        <v>2</v>
      </c>
      <c r="O26" s="855">
        <f>'WTW Input'!$H$15</f>
        <v>0</v>
      </c>
      <c r="P26" s="854" t="s">
        <v>25</v>
      </c>
      <c r="Q26" s="855">
        <f>IF('WTW Input'!$H$15&gt;0,$S$18,0)</f>
        <v>0</v>
      </c>
      <c r="R26" s="67"/>
      <c r="S26" s="836">
        <f>IF('WTW Input'!$H$15&gt;0,IF('Input Data'!$D$33="N",(K26*M26*O26/O27*Q26),0),0)</f>
        <v>0</v>
      </c>
    </row>
    <row r="27" spans="1:19" ht="15" customHeight="1" x14ac:dyDescent="0.2">
      <c r="A27" s="1487"/>
      <c r="B27" s="1390"/>
      <c r="C27" s="1390"/>
      <c r="D27" s="1390"/>
      <c r="E27" s="137"/>
      <c r="F27" s="137"/>
      <c r="G27" s="9"/>
      <c r="H27" s="9"/>
      <c r="I27" s="9"/>
      <c r="J27" s="9"/>
      <c r="K27" s="65"/>
      <c r="L27" s="50"/>
      <c r="M27" s="66"/>
      <c r="N27" s="67"/>
      <c r="O27" s="853">
        <f>IF('WTW Input'!$H$15&gt;0,'Input Data'!$H$48,0)</f>
        <v>0</v>
      </c>
      <c r="P27" s="857"/>
      <c r="Q27" s="856"/>
      <c r="R27" s="67"/>
      <c r="S27" s="818"/>
    </row>
    <row r="28" spans="1:19" ht="15" customHeight="1" x14ac:dyDescent="0.2">
      <c r="A28" s="6"/>
      <c r="B28" s="9"/>
      <c r="C28" s="9"/>
      <c r="D28" s="9"/>
      <c r="E28" s="9"/>
      <c r="F28" s="9"/>
      <c r="G28" s="9"/>
      <c r="H28" s="9"/>
      <c r="I28" s="9"/>
      <c r="J28" s="9"/>
      <c r="K28" s="65"/>
      <c r="L28" s="50"/>
      <c r="M28" s="66"/>
      <c r="N28" s="67"/>
      <c r="O28" s="856"/>
      <c r="P28" s="857"/>
      <c r="Q28" s="856"/>
      <c r="R28" s="67"/>
      <c r="S28" s="818"/>
    </row>
    <row r="29" spans="1:19" ht="15" customHeight="1" x14ac:dyDescent="0.2">
      <c r="A29" s="1389" t="s">
        <v>168</v>
      </c>
      <c r="B29" s="1390"/>
      <c r="C29" s="1488"/>
      <c r="D29" s="1488"/>
      <c r="E29" s="406"/>
      <c r="F29" s="406"/>
      <c r="G29" s="406"/>
      <c r="H29" s="406"/>
      <c r="I29" s="19"/>
      <c r="J29" s="36"/>
      <c r="K29" s="65">
        <f>IF('WTW Input'!$H$16&gt;0,1.25,0)</f>
        <v>0</v>
      </c>
      <c r="L29" s="36" t="s">
        <v>1</v>
      </c>
      <c r="M29" s="49">
        <f>IF('Input Data'!$F$31=1,0.05,IF('Input Data'!$F$31=2,Scales!$L$5,IF('Input Data'!$F$31=3,Scales!$L$6,IF('Input Data'!$F$31=4,Scales!$L$7,0.7))))</f>
        <v>0.05</v>
      </c>
      <c r="N29" s="42" t="s">
        <v>2</v>
      </c>
      <c r="O29" s="855">
        <f>'WTW Input'!$H$16</f>
        <v>0</v>
      </c>
      <c r="P29" s="854" t="s">
        <v>25</v>
      </c>
      <c r="Q29" s="855">
        <f>IF('WTW Input'!$H$16&gt;0,$S$18,0)</f>
        <v>0</v>
      </c>
      <c r="R29" s="25"/>
      <c r="S29" s="836">
        <f>IF('WTW Input'!$H$16&gt;0,IF('Input Data'!$D$33="N",(K29*M29*O29/O30*Q29),0),0)</f>
        <v>0</v>
      </c>
    </row>
    <row r="30" spans="1:19" ht="15" customHeight="1" x14ac:dyDescent="0.2">
      <c r="A30" s="1489"/>
      <c r="B30" s="1488"/>
      <c r="C30" s="1488"/>
      <c r="D30" s="1488"/>
      <c r="E30" s="406"/>
      <c r="F30" s="406"/>
      <c r="G30" s="19"/>
      <c r="H30" s="19"/>
      <c r="I30" s="19"/>
      <c r="J30" s="19"/>
      <c r="K30" s="65"/>
      <c r="L30" s="50"/>
      <c r="M30" s="66"/>
      <c r="N30" s="67"/>
      <c r="O30" s="853">
        <f>IF('WTW Input'!$H$16&gt;0,'Input Data'!$H$48,0)</f>
        <v>0</v>
      </c>
      <c r="P30" s="857"/>
      <c r="Q30" s="856"/>
      <c r="R30" s="67"/>
      <c r="S30" s="818"/>
    </row>
    <row r="31" spans="1:19" ht="12" customHeight="1" x14ac:dyDescent="0.2">
      <c r="A31" s="63"/>
      <c r="B31" s="64"/>
      <c r="C31" s="19"/>
      <c r="D31" s="19"/>
      <c r="E31" s="19"/>
      <c r="F31" s="19"/>
      <c r="G31" s="19"/>
      <c r="H31" s="19"/>
      <c r="I31" s="19"/>
      <c r="J31" s="19"/>
      <c r="K31" s="65"/>
      <c r="L31" s="50"/>
      <c r="M31" s="66"/>
      <c r="N31" s="67"/>
      <c r="O31" s="856"/>
      <c r="P31" s="857"/>
      <c r="Q31" s="856"/>
      <c r="R31" s="67"/>
      <c r="S31" s="818"/>
    </row>
    <row r="32" spans="1:19" ht="21.75" customHeight="1" x14ac:dyDescent="0.2">
      <c r="A32" s="1389" t="s">
        <v>171</v>
      </c>
      <c r="B32" s="1390"/>
      <c r="C32" s="1488"/>
      <c r="D32" s="1488"/>
      <c r="E32" s="406"/>
      <c r="F32" s="406"/>
      <c r="G32" s="406"/>
      <c r="H32" s="406"/>
      <c r="I32" s="19"/>
      <c r="J32" s="36"/>
      <c r="K32" s="69">
        <f>IF('WTW Input'!$H$17&gt;0,0.33,0)</f>
        <v>0</v>
      </c>
      <c r="L32" s="36" t="s">
        <v>1</v>
      </c>
      <c r="M32" s="49">
        <f>IF('Input Data'!$F$31=1,0.05,IF('Input Data'!$F$31=2,Scales!$L$5,IF('Input Data'!$F$31=3,Scales!$L$6,IF('Input Data'!$F$31=4,Scales!$L$7,0.7))))</f>
        <v>0.05</v>
      </c>
      <c r="N32" s="42" t="s">
        <v>2</v>
      </c>
      <c r="O32" s="855">
        <f>'WTW Input'!$H$17</f>
        <v>0</v>
      </c>
      <c r="P32" s="854" t="s">
        <v>25</v>
      </c>
      <c r="Q32" s="855">
        <f>IF('WTW Input'!$H$17&gt;0,$S$18,0)</f>
        <v>0</v>
      </c>
      <c r="R32" s="25"/>
      <c r="S32" s="836">
        <f>IF('WTW Input'!$H$17&gt;0,IF('Input Data'!$D$33="N",(K32*M32*O32/O33*Q32),0),0)</f>
        <v>0</v>
      </c>
    </row>
    <row r="33" spans="1:19" ht="21.75" customHeight="1" x14ac:dyDescent="0.2">
      <c r="A33" s="1489"/>
      <c r="B33" s="1488"/>
      <c r="C33" s="1488"/>
      <c r="D33" s="1488"/>
      <c r="E33" s="406"/>
      <c r="F33" s="406"/>
      <c r="G33" s="19"/>
      <c r="H33" s="19"/>
      <c r="I33" s="19"/>
      <c r="J33" s="19"/>
      <c r="K33" s="65"/>
      <c r="L33" s="50"/>
      <c r="M33" s="49"/>
      <c r="N33" s="42"/>
      <c r="O33" s="853">
        <f>IF('WTW Input'!$H$17&gt;0,'Input Data'!$H$48,0)</f>
        <v>0</v>
      </c>
      <c r="P33" s="857"/>
      <c r="Q33" s="860"/>
      <c r="R33" s="67"/>
      <c r="S33" s="818"/>
    </row>
    <row r="34" spans="1:19" ht="9" customHeight="1" x14ac:dyDescent="0.2">
      <c r="A34" s="414"/>
      <c r="B34" s="29"/>
      <c r="C34" s="29"/>
      <c r="D34" s="29"/>
      <c r="E34" s="29"/>
      <c r="F34" s="29"/>
      <c r="G34" s="29"/>
      <c r="H34" s="29"/>
      <c r="I34" s="29"/>
      <c r="J34" s="29"/>
      <c r="K34" s="29"/>
      <c r="L34" s="29"/>
      <c r="M34" s="29"/>
      <c r="N34" s="29"/>
      <c r="O34" s="861"/>
      <c r="P34" s="861"/>
      <c r="Q34" s="861"/>
      <c r="R34" s="29"/>
      <c r="S34" s="889"/>
    </row>
    <row r="35" spans="1:19" ht="15.75" customHeight="1" x14ac:dyDescent="0.2">
      <c r="A35" s="1385" t="s">
        <v>169</v>
      </c>
      <c r="B35" s="1390"/>
      <c r="C35" s="1390"/>
      <c r="D35" s="1390"/>
      <c r="E35" s="137"/>
      <c r="F35" s="137"/>
      <c r="G35" s="19"/>
      <c r="H35" s="36"/>
      <c r="I35" s="65">
        <f>IF('WTW Input'!$H$18&gt;0,0.33,0)</f>
        <v>0</v>
      </c>
      <c r="J35" s="36" t="s">
        <v>1</v>
      </c>
      <c r="K35" s="65">
        <f>IF('WTW Input'!$H$18&gt;0,1.25,0)</f>
        <v>0</v>
      </c>
      <c r="L35" s="36" t="s">
        <v>1</v>
      </c>
      <c r="M35" s="49">
        <f>IF('Input Data'!$F$31=1,0.05,IF('Input Data'!$F$31=2,Scales!$L$5,IF('Input Data'!$F$31=3,Scales!$L$6,IF('Input Data'!$F$31=4,Scales!$L$7,0.7))))</f>
        <v>0.05</v>
      </c>
      <c r="N35" s="42" t="s">
        <v>2</v>
      </c>
      <c r="O35" s="855">
        <f>'WTW Input'!$H$18</f>
        <v>0</v>
      </c>
      <c r="P35" s="854" t="s">
        <v>25</v>
      </c>
      <c r="Q35" s="855">
        <f>IF('WTW Input'!$H$18&gt;0,$S$18,0)</f>
        <v>0</v>
      </c>
      <c r="R35" s="67"/>
      <c r="S35" s="836">
        <f>IF('WTW Input'!$H$18&gt;0,IF('Input Data'!$D$33="N",(I35*K35*M35*O35/O36*Q35),0),0)</f>
        <v>0</v>
      </c>
    </row>
    <row r="36" spans="1:19" ht="24" customHeight="1" x14ac:dyDescent="0.2">
      <c r="A36" s="1487"/>
      <c r="B36" s="1390"/>
      <c r="C36" s="1390"/>
      <c r="D36" s="1390"/>
      <c r="E36" s="137"/>
      <c r="F36" s="137"/>
      <c r="G36" s="9"/>
      <c r="H36" s="9"/>
      <c r="I36" s="9"/>
      <c r="J36" s="9"/>
      <c r="K36" s="65"/>
      <c r="L36" s="50"/>
      <c r="M36" s="49"/>
      <c r="N36" s="67"/>
      <c r="O36" s="853">
        <f>IF('WTW Input'!$H$18&gt;0,'Input Data'!$H$48,0)</f>
        <v>0</v>
      </c>
      <c r="P36" s="857"/>
      <c r="Q36" s="856"/>
      <c r="R36" s="67"/>
      <c r="S36" s="818"/>
    </row>
    <row r="37" spans="1:19" x14ac:dyDescent="0.2">
      <c r="A37" s="6"/>
      <c r="B37" s="9"/>
      <c r="C37" s="9"/>
      <c r="D37" s="9"/>
      <c r="E37" s="9"/>
      <c r="F37" s="9"/>
      <c r="G37" s="9"/>
      <c r="H37" s="9"/>
      <c r="I37" s="9"/>
      <c r="J37" s="9"/>
      <c r="K37" s="65"/>
      <c r="L37" s="50"/>
      <c r="M37" s="66"/>
      <c r="N37" s="67"/>
      <c r="O37" s="856"/>
      <c r="P37" s="857"/>
      <c r="Q37" s="856"/>
      <c r="R37" s="67"/>
      <c r="S37" s="818"/>
    </row>
    <row r="38" spans="1:19" ht="15.75" customHeight="1" x14ac:dyDescent="0.2">
      <c r="A38" s="1385" t="s">
        <v>172</v>
      </c>
      <c r="B38" s="1493"/>
      <c r="C38" s="1493"/>
      <c r="D38" s="1493"/>
      <c r="E38" s="138"/>
      <c r="F38" s="138"/>
      <c r="G38" s="19"/>
      <c r="H38" s="36"/>
      <c r="I38" s="65">
        <f>IF('WTW Input'!$H$19&gt;0,0.33,0)</f>
        <v>0</v>
      </c>
      <c r="J38" s="36" t="s">
        <v>1</v>
      </c>
      <c r="K38" s="70">
        <f>IF('WTW Input'!$H$19&gt;0,0.25,0)</f>
        <v>0</v>
      </c>
      <c r="L38" s="36" t="s">
        <v>1</v>
      </c>
      <c r="M38" s="49">
        <f>IF('Input Data'!$F$31=1,0.05,IF('Input Data'!$F$31=2,Scales!$L$5,IF('Input Data'!$F$31=3,Scales!$L$6,IF('Input Data'!$F$31=4,Scales!$L$7,0.7))))</f>
        <v>0.05</v>
      </c>
      <c r="N38" s="42" t="s">
        <v>2</v>
      </c>
      <c r="O38" s="855">
        <f>'WTW Input'!$H$19</f>
        <v>0</v>
      </c>
      <c r="P38" s="854" t="s">
        <v>25</v>
      </c>
      <c r="Q38" s="855">
        <f>IF('WTW Input'!$H$19&gt;0,$S$18,0)</f>
        <v>0</v>
      </c>
      <c r="R38" s="67"/>
      <c r="S38" s="836">
        <f>IF('WTW Input'!$H$19&gt;0,IF('Input Data'!$D$33="N",(I38*K38*M38*O38/O39*Q38),0),0)</f>
        <v>0</v>
      </c>
    </row>
    <row r="39" spans="1:19" ht="21.75" customHeight="1" x14ac:dyDescent="0.2">
      <c r="A39" s="1385"/>
      <c r="B39" s="1493"/>
      <c r="C39" s="1493"/>
      <c r="D39" s="1493"/>
      <c r="E39" s="138"/>
      <c r="F39" s="138"/>
      <c r="G39" s="9"/>
      <c r="H39" s="9"/>
      <c r="I39" s="9"/>
      <c r="J39" s="9"/>
      <c r="K39" s="65"/>
      <c r="L39" s="50"/>
      <c r="M39" s="49"/>
      <c r="N39" s="67"/>
      <c r="O39" s="853">
        <f>IF('WTW Input'!$H$19&gt;0,'Input Data'!$H$48,0)</f>
        <v>0</v>
      </c>
      <c r="P39" s="857"/>
      <c r="Q39" s="856"/>
      <c r="R39" s="67"/>
      <c r="S39" s="818"/>
    </row>
    <row r="40" spans="1:19" x14ac:dyDescent="0.2">
      <c r="A40" s="6"/>
      <c r="B40" s="9"/>
      <c r="C40" s="9"/>
      <c r="D40" s="9"/>
      <c r="E40" s="9"/>
      <c r="F40" s="9"/>
      <c r="G40" s="9"/>
      <c r="H40" s="9"/>
      <c r="I40" s="9"/>
      <c r="J40" s="9"/>
      <c r="K40" s="65"/>
      <c r="L40" s="50"/>
      <c r="M40" s="66"/>
      <c r="N40" s="67"/>
      <c r="O40" s="856"/>
      <c r="P40" s="857"/>
      <c r="Q40" s="856"/>
      <c r="R40" s="67"/>
      <c r="S40" s="818"/>
    </row>
    <row r="41" spans="1:19" x14ac:dyDescent="0.2">
      <c r="A41" s="1385" t="s">
        <v>173</v>
      </c>
      <c r="B41" s="1390"/>
      <c r="C41" s="1390"/>
      <c r="D41" s="1390"/>
      <c r="E41" s="137"/>
      <c r="F41" s="137"/>
      <c r="G41" s="19"/>
      <c r="H41" s="36"/>
      <c r="I41" s="65">
        <f>IF('WTW Input'!$H$20&gt;0,1.25,0)</f>
        <v>0</v>
      </c>
      <c r="J41" s="36" t="s">
        <v>1</v>
      </c>
      <c r="K41" s="70">
        <f>IF('WTW Input'!$H$20&gt;0,0.25,0)</f>
        <v>0</v>
      </c>
      <c r="L41" s="36" t="s">
        <v>1</v>
      </c>
      <c r="M41" s="49">
        <f>IF('Input Data'!$F$31=1,0.05,IF('Input Data'!$F$31=2,Scales!$L$5,IF('Input Data'!$F$31=3,Scales!$L$6,IF('Input Data'!$F$31=4,Scales!$L$7,0.7))))</f>
        <v>0.05</v>
      </c>
      <c r="N41" s="42" t="s">
        <v>2</v>
      </c>
      <c r="O41" s="855">
        <f>'WTW Input'!$H$20</f>
        <v>0</v>
      </c>
      <c r="P41" s="854" t="s">
        <v>25</v>
      </c>
      <c r="Q41" s="855">
        <f>IF('WTW Input'!$H$20&gt;0,$S$18,0)</f>
        <v>0</v>
      </c>
      <c r="R41" s="67"/>
      <c r="S41" s="836">
        <f>IF('WTW Input'!$H$20&gt;0,IF('Input Data'!$D$33="N",(I41*K41*M41*O41/O42*Q41),0),0)</f>
        <v>0</v>
      </c>
    </row>
    <row r="42" spans="1:19" x14ac:dyDescent="0.2">
      <c r="A42" s="1487"/>
      <c r="B42" s="1390"/>
      <c r="C42" s="1390"/>
      <c r="D42" s="1390"/>
      <c r="E42" s="137"/>
      <c r="F42" s="137"/>
      <c r="G42" s="9"/>
      <c r="H42" s="9"/>
      <c r="I42" s="9"/>
      <c r="J42" s="9"/>
      <c r="K42" s="65"/>
      <c r="L42" s="50"/>
      <c r="M42" s="49"/>
      <c r="N42" s="67"/>
      <c r="O42" s="853">
        <f>IF('WTW Input'!$H$20&gt;0,'Input Data'!$H$48,0)</f>
        <v>0</v>
      </c>
      <c r="P42" s="857"/>
      <c r="Q42" s="856"/>
      <c r="R42" s="67"/>
      <c r="S42" s="818"/>
    </row>
    <row r="43" spans="1:19" x14ac:dyDescent="0.2">
      <c r="A43" s="6"/>
      <c r="B43" s="9"/>
      <c r="C43" s="9"/>
      <c r="D43" s="9"/>
      <c r="E43" s="9"/>
      <c r="F43" s="9"/>
      <c r="G43" s="9"/>
      <c r="H43" s="9"/>
      <c r="I43" s="9"/>
      <c r="J43" s="9"/>
      <c r="K43" s="65"/>
      <c r="L43" s="50"/>
      <c r="M43" s="66"/>
      <c r="N43" s="67"/>
      <c r="O43" s="856"/>
      <c r="P43" s="857"/>
      <c r="Q43" s="856"/>
      <c r="R43" s="67"/>
      <c r="S43" s="818"/>
    </row>
    <row r="44" spans="1:19" x14ac:dyDescent="0.2">
      <c r="A44" s="1385" t="s">
        <v>174</v>
      </c>
      <c r="B44" s="1390"/>
      <c r="C44" s="1390"/>
      <c r="D44" s="1390"/>
      <c r="E44" s="19"/>
      <c r="F44" s="36"/>
      <c r="G44" s="65">
        <f>IF('WTW Input'!$H$21&gt;0,1.25,0)</f>
        <v>0</v>
      </c>
      <c r="H44" s="36" t="s">
        <v>1</v>
      </c>
      <c r="I44" s="65">
        <f>IF('WTW Input'!$H$21&gt;0,0.33,0)</f>
        <v>0</v>
      </c>
      <c r="J44" s="36" t="s">
        <v>1</v>
      </c>
      <c r="K44" s="70">
        <f>IF('WTW Input'!$H$21&gt;0,0.25,0)</f>
        <v>0</v>
      </c>
      <c r="L44" s="36" t="s">
        <v>1</v>
      </c>
      <c r="M44" s="49">
        <f>IF('Input Data'!$F$31=1,0.05,IF('Input Data'!$F$31=2,Scales!$L$5,IF('Input Data'!$F$31=3,Scales!$L$6,IF('Input Data'!$F$31=4,Scales!$L$7,0.7))))</f>
        <v>0.05</v>
      </c>
      <c r="N44" s="42" t="s">
        <v>2</v>
      </c>
      <c r="O44" s="855">
        <f>'WTW Input'!$H$21</f>
        <v>0</v>
      </c>
      <c r="P44" s="854" t="s">
        <v>25</v>
      </c>
      <c r="Q44" s="855">
        <f>IF('WTW Input'!$H$21&gt;0,$S$18,0)</f>
        <v>0</v>
      </c>
      <c r="R44" s="67"/>
      <c r="S44" s="836">
        <f>IF('WTW Input'!$H$21&gt;0,IF('Input Data'!$D$33="N",(G44*I44*K44*M44*O44/O45*Q44),0),0)</f>
        <v>0</v>
      </c>
    </row>
    <row r="45" spans="1:19" ht="24" customHeight="1" x14ac:dyDescent="0.2">
      <c r="A45" s="1487"/>
      <c r="B45" s="1390"/>
      <c r="C45" s="1390"/>
      <c r="D45" s="1390"/>
      <c r="E45" s="137"/>
      <c r="F45" s="137"/>
      <c r="G45" s="9"/>
      <c r="H45" s="9"/>
      <c r="I45" s="9"/>
      <c r="J45" s="9"/>
      <c r="K45" s="65"/>
      <c r="L45" s="50"/>
      <c r="M45" s="49"/>
      <c r="N45" s="67"/>
      <c r="O45" s="853">
        <f>IF('WTW Input'!$H$21&gt;0,'Input Data'!$H$48,0)</f>
        <v>0</v>
      </c>
      <c r="P45" s="857"/>
      <c r="Q45" s="856"/>
      <c r="R45" s="67"/>
      <c r="S45" s="818"/>
    </row>
    <row r="46" spans="1:19" ht="32.25" customHeight="1" x14ac:dyDescent="0.2">
      <c r="A46" s="1494" t="s">
        <v>179</v>
      </c>
      <c r="B46" s="1391"/>
      <c r="C46" s="1391"/>
      <c r="D46" s="1391"/>
      <c r="E46" s="1391"/>
      <c r="F46" s="1391"/>
      <c r="G46" s="1391"/>
      <c r="H46" s="1391"/>
      <c r="I46" s="1391"/>
      <c r="J46" s="1391"/>
      <c r="K46" s="1391"/>
      <c r="L46" s="1391"/>
      <c r="M46" s="1391"/>
      <c r="N46" s="1391"/>
      <c r="O46" s="1391"/>
      <c r="P46" s="1391"/>
      <c r="Q46" s="1391"/>
      <c r="R46" s="67"/>
      <c r="S46" s="890">
        <f>IF(S14=0,0,SUM(S23:S45))</f>
        <v>0</v>
      </c>
    </row>
    <row r="47" spans="1:19" ht="15.75" thickBot="1" x14ac:dyDescent="0.25">
      <c r="A47" s="71"/>
      <c r="B47" s="15"/>
      <c r="C47" s="54"/>
      <c r="D47" s="54"/>
      <c r="E47" s="54"/>
      <c r="F47" s="54"/>
      <c r="G47" s="54"/>
      <c r="H47" s="54"/>
      <c r="I47" s="54"/>
      <c r="J47" s="54"/>
      <c r="K47" s="73"/>
      <c r="L47" s="74"/>
      <c r="M47" s="75"/>
      <c r="N47" s="76"/>
      <c r="O47" s="76"/>
      <c r="P47" s="77"/>
      <c r="Q47" s="76"/>
      <c r="R47" s="76"/>
      <c r="S47" s="891"/>
    </row>
    <row r="48" spans="1:19" ht="27.75" customHeight="1" thickTop="1" x14ac:dyDescent="0.2">
      <c r="A48" s="82" t="s">
        <v>318</v>
      </c>
      <c r="B48" s="64"/>
      <c r="C48" s="64"/>
      <c r="D48" s="64"/>
      <c r="E48" s="64"/>
      <c r="F48" s="64"/>
      <c r="G48" s="19"/>
      <c r="H48" s="19"/>
      <c r="I48" s="19"/>
      <c r="J48" s="19"/>
      <c r="K48" s="19"/>
      <c r="L48" s="19"/>
      <c r="M48" s="19"/>
      <c r="N48" s="19"/>
      <c r="O48" s="19"/>
      <c r="P48" s="19"/>
      <c r="Q48" s="19"/>
      <c r="R48" s="19"/>
      <c r="S48" s="820"/>
    </row>
    <row r="49" spans="1:19" x14ac:dyDescent="0.2">
      <c r="A49" s="425"/>
      <c r="B49" s="19"/>
      <c r="C49" s="19"/>
      <c r="D49" s="19"/>
      <c r="E49" s="19"/>
      <c r="F49" s="19"/>
      <c r="G49" s="19"/>
      <c r="H49" s="19"/>
      <c r="I49" s="19"/>
      <c r="J49" s="19"/>
      <c r="K49" s="19"/>
      <c r="L49" s="19"/>
      <c r="M49" s="19"/>
      <c r="N49" s="19"/>
      <c r="O49" s="19"/>
      <c r="P49" s="19"/>
      <c r="Q49" s="19"/>
      <c r="R49" s="19"/>
      <c r="S49" s="820"/>
    </row>
    <row r="50" spans="1:19" x14ac:dyDescent="0.2">
      <c r="A50" s="1401" t="s">
        <v>176</v>
      </c>
      <c r="B50" s="1391"/>
      <c r="C50" s="1391"/>
      <c r="D50" s="36"/>
      <c r="E50" s="36"/>
      <c r="F50" s="36"/>
      <c r="G50" s="36"/>
      <c r="H50" s="36"/>
      <c r="I50" s="36"/>
      <c r="J50" s="36"/>
      <c r="K50" s="19"/>
      <c r="L50" s="36"/>
      <c r="M50" s="49">
        <f>IF('Input Data'!$F$31&lt;5,0,IF('Input Data'!$F$31=5,0.25,IF('Input Data'!$F$31=6,0.3)))</f>
        <v>0</v>
      </c>
      <c r="N50" s="38" t="s">
        <v>2</v>
      </c>
      <c r="O50" s="855">
        <f>IF('Input Data'!$F$31&gt;4,'WTW Input'!$H$26,0)</f>
        <v>0</v>
      </c>
      <c r="P50" s="854" t="s">
        <v>25</v>
      </c>
      <c r="Q50" s="864">
        <f>IF('WTW Input'!$H$26&gt;0,IF('Input Data'!$F$31&gt;4,$S$18,0),0)</f>
        <v>0</v>
      </c>
      <c r="R50" s="25"/>
      <c r="S50" s="836">
        <f>IF('WTW Input'!$H$26&gt;0,IF('Input Data'!$F$31&gt;4,(M50*O50/O51*Q50),0),0)</f>
        <v>0</v>
      </c>
    </row>
    <row r="51" spans="1:19" x14ac:dyDescent="0.2">
      <c r="A51" s="1395"/>
      <c r="B51" s="1391"/>
      <c r="C51" s="1391"/>
      <c r="D51" s="45"/>
      <c r="E51" s="45"/>
      <c r="F51" s="45"/>
      <c r="G51" s="45"/>
      <c r="H51" s="45"/>
      <c r="I51" s="45"/>
      <c r="J51" s="45"/>
      <c r="K51" s="19"/>
      <c r="L51" s="19"/>
      <c r="M51" s="49"/>
      <c r="N51" s="20"/>
      <c r="O51" s="853">
        <f>IF('WTW Input'!$H$26&gt;0,'Input Data'!$H$48,0)</f>
        <v>0</v>
      </c>
      <c r="P51" s="854"/>
      <c r="Q51" s="855"/>
      <c r="R51" s="25"/>
      <c r="S51" s="836"/>
    </row>
    <row r="52" spans="1:19" x14ac:dyDescent="0.2">
      <c r="A52" s="44"/>
      <c r="B52" s="19"/>
      <c r="C52" s="20"/>
      <c r="D52" s="45"/>
      <c r="E52" s="45"/>
      <c r="F52" s="45"/>
      <c r="G52" s="45"/>
      <c r="H52" s="45"/>
      <c r="I52" s="45"/>
      <c r="J52" s="45"/>
      <c r="K52" s="19"/>
      <c r="L52" s="19"/>
      <c r="M52" s="49"/>
      <c r="N52" s="20"/>
      <c r="O52" s="866"/>
      <c r="P52" s="854"/>
      <c r="Q52" s="855"/>
      <c r="R52" s="25"/>
      <c r="S52" s="836"/>
    </row>
    <row r="53" spans="1:19" x14ac:dyDescent="0.2">
      <c r="A53" s="1389" t="s">
        <v>168</v>
      </c>
      <c r="B53" s="1390"/>
      <c r="C53" s="1488"/>
      <c r="D53" s="36"/>
      <c r="E53" s="36"/>
      <c r="F53" s="36"/>
      <c r="G53" s="36"/>
      <c r="H53" s="36"/>
      <c r="I53" s="19"/>
      <c r="J53" s="36"/>
      <c r="K53" s="65">
        <f>IF('WTW Input'!H27&gt;0,1.25,0)</f>
        <v>0</v>
      </c>
      <c r="L53" s="19" t="s">
        <v>25</v>
      </c>
      <c r="M53" s="49">
        <f>IF('Input Data'!$F$31&lt;5,0,IF('Input Data'!$F$31=5,0.25,IF('Input Data'!$F$31=6,0.3)))</f>
        <v>0</v>
      </c>
      <c r="N53" s="38" t="s">
        <v>2</v>
      </c>
      <c r="O53" s="855">
        <f>IF('Input Data'!$F$31&gt;4,'WTW Input'!$H$27,0)</f>
        <v>0</v>
      </c>
      <c r="P53" s="854" t="s">
        <v>25</v>
      </c>
      <c r="Q53" s="864">
        <f>IF('WTW Input'!$H$27&gt;0,IF('Input Data'!$F$31&gt;4,$S$18,0),0)</f>
        <v>0</v>
      </c>
      <c r="R53" s="42"/>
      <c r="S53" s="836">
        <f>IF('WTW Input'!$H$27&gt;0,IF('Input Data'!$F$31&gt;4,(K53*M53*O53/O54*Q53),0),0)</f>
        <v>0</v>
      </c>
    </row>
    <row r="54" spans="1:19" x14ac:dyDescent="0.2">
      <c r="A54" s="1489"/>
      <c r="B54" s="1488"/>
      <c r="C54" s="1488"/>
      <c r="D54" s="50"/>
      <c r="E54" s="50"/>
      <c r="F54" s="50"/>
      <c r="G54" s="50"/>
      <c r="H54" s="50"/>
      <c r="I54" s="50"/>
      <c r="J54" s="50"/>
      <c r="K54" s="19"/>
      <c r="L54" s="19"/>
      <c r="M54" s="66"/>
      <c r="N54" s="64"/>
      <c r="O54" s="853">
        <f>IF('WTW Input'!$H$27&gt;0,'Input Data'!$H$48,0)</f>
        <v>0</v>
      </c>
      <c r="P54" s="857"/>
      <c r="Q54" s="856"/>
      <c r="R54" s="67"/>
      <c r="S54" s="818"/>
    </row>
    <row r="55" spans="1:19" ht="21" customHeight="1" x14ac:dyDescent="0.2">
      <c r="A55" s="424"/>
      <c r="B55" s="144" t="s">
        <v>233</v>
      </c>
      <c r="C55" s="406"/>
      <c r="D55" s="29"/>
      <c r="E55" s="426"/>
      <c r="F55" s="29"/>
      <c r="G55" s="148"/>
      <c r="H55" s="148"/>
      <c r="I55" s="148"/>
      <c r="J55" s="148"/>
      <c r="K55" s="149"/>
      <c r="L55" s="149"/>
      <c r="M55" s="150"/>
      <c r="N55" s="151"/>
      <c r="O55" s="152"/>
      <c r="P55" s="153"/>
      <c r="Q55" s="154"/>
      <c r="R55" s="154"/>
      <c r="S55" s="890">
        <f>IF('WTW Input'!H28=0,0,SUM(S50:S54))</f>
        <v>0</v>
      </c>
    </row>
    <row r="56" spans="1:19" ht="6" customHeight="1" thickBot="1" x14ac:dyDescent="0.25">
      <c r="A56" s="123"/>
      <c r="B56" s="12"/>
      <c r="C56" s="12"/>
      <c r="D56" s="84"/>
      <c r="E56" s="84"/>
      <c r="F56" s="84"/>
      <c r="G56" s="84"/>
      <c r="H56" s="84"/>
      <c r="I56" s="84"/>
      <c r="J56" s="84"/>
      <c r="K56" s="85"/>
      <c r="L56" s="85"/>
      <c r="M56" s="86"/>
      <c r="N56" s="12"/>
      <c r="O56" s="13"/>
      <c r="P56" s="79"/>
      <c r="Q56" s="13"/>
      <c r="R56" s="13"/>
      <c r="S56" s="837"/>
    </row>
    <row r="57" spans="1:19" ht="27.75" customHeight="1" thickTop="1" thickBot="1" x14ac:dyDescent="0.25">
      <c r="A57" s="427"/>
      <c r="B57" s="428"/>
      <c r="C57" s="428"/>
      <c r="D57" s="429" t="s">
        <v>143</v>
      </c>
      <c r="E57" s="430"/>
      <c r="F57" s="430"/>
      <c r="G57" s="431"/>
      <c r="H57" s="431"/>
      <c r="I57" s="431"/>
      <c r="J57" s="431"/>
      <c r="K57" s="431"/>
      <c r="L57" s="431"/>
      <c r="M57" s="431"/>
      <c r="N57" s="431"/>
      <c r="O57" s="431"/>
      <c r="P57" s="431"/>
      <c r="Q57" s="431"/>
      <c r="R57" s="431"/>
      <c r="S57" s="892">
        <f>S46+S55</f>
        <v>0</v>
      </c>
    </row>
    <row r="58" spans="1:19" ht="15.75" thickTop="1" x14ac:dyDescent="0.2"/>
  </sheetData>
  <sheetProtection password="CD4C" sheet="1" objects="1" scenarios="1"/>
  <customSheetViews>
    <customSheetView guid="{F2EF8C40-5F38-4711-A114-3A47916B87AA}" scale="75" showPageBreaks="1" showRuler="0" topLeftCell="B55">
      <selection activeCell="Q17" sqref="Q17"/>
      <pageMargins left="0.74803149606299213" right="0.74803149606299213" top="0.78740157480314965" bottom="0.78740157480314965" header="0.51181102362204722" footer="0.51181102362204722"/>
      <printOptions horizontalCentered="1"/>
      <pageSetup paperSize="8" scale="84" orientation="portrait" r:id="rId1"/>
      <headerFooter alignWithMargins="0">
        <oddFooter>&amp;L&amp;F&amp;A&amp;C&amp;P&amp;R&amp;D</oddFooter>
      </headerFooter>
    </customSheetView>
  </customSheetViews>
  <mergeCells count="22">
    <mergeCell ref="A53:C54"/>
    <mergeCell ref="A38:D39"/>
    <mergeCell ref="A41:D42"/>
    <mergeCell ref="A44:D45"/>
    <mergeCell ref="A50:C51"/>
    <mergeCell ref="A46:Q46"/>
    <mergeCell ref="A26:D27"/>
    <mergeCell ref="A32:D33"/>
    <mergeCell ref="A29:D30"/>
    <mergeCell ref="C12:H12"/>
    <mergeCell ref="A35:D36"/>
    <mergeCell ref="C10:P10"/>
    <mergeCell ref="A23:C24"/>
    <mergeCell ref="N14:R14"/>
    <mergeCell ref="E1:S1"/>
    <mergeCell ref="B6:D6"/>
    <mergeCell ref="K3:Q3"/>
    <mergeCell ref="I6:P6"/>
    <mergeCell ref="O12:Q12"/>
    <mergeCell ref="N15:R15"/>
    <mergeCell ref="A14:L14"/>
    <mergeCell ref="B8:R8"/>
  </mergeCells>
  <phoneticPr fontId="0" type="noConversion"/>
  <printOptions horizontalCentered="1"/>
  <pageMargins left="0.74803149606299213" right="0.74803149606299213" top="0.78740157480314965" bottom="0.78740157480314965" header="0.51181102362204722" footer="0.51181102362204722"/>
  <pageSetup paperSize="8" scale="54" orientation="portrait" r:id="rId2"/>
  <headerFooter alignWithMargins="0">
    <oddFooter>&amp;L&amp;8&amp;A(&amp;F)&amp;C&amp;P&amp;R&amp;8&amp;D</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topLeftCell="B1" zoomScale="75" zoomScaleNormal="75" zoomScaleSheetLayoutView="75" workbookViewId="0">
      <selection activeCell="C6" sqref="C6"/>
    </sheetView>
  </sheetViews>
  <sheetFormatPr defaultRowHeight="15" x14ac:dyDescent="0.2"/>
  <cols>
    <col min="1" max="2" width="9.21875" customWidth="1"/>
    <col min="3" max="3" width="11.77734375" customWidth="1"/>
    <col min="4" max="4" width="11.6640625" customWidth="1"/>
    <col min="5" max="5" width="10.77734375" customWidth="1"/>
    <col min="6" max="6" width="11.109375" customWidth="1"/>
    <col min="7" max="7" width="3.21875" customWidth="1"/>
    <col min="8" max="8" width="9.44140625" customWidth="1"/>
    <col min="9" max="9" width="11.6640625" customWidth="1"/>
    <col min="10" max="10" width="12.21875" customWidth="1"/>
    <col min="11" max="11" width="12" customWidth="1"/>
    <col min="12" max="12" width="9.33203125" customWidth="1"/>
    <col min="13" max="13" width="11.77734375" customWidth="1"/>
  </cols>
  <sheetData>
    <row r="1" spans="1:13" ht="21" customHeight="1" thickTop="1" x14ac:dyDescent="0.2">
      <c r="A1" s="204" t="s">
        <v>31</v>
      </c>
      <c r="B1" s="355"/>
      <c r="C1" s="205"/>
      <c r="D1" s="205"/>
      <c r="E1" s="206" t="s">
        <v>221</v>
      </c>
      <c r="F1" s="205"/>
      <c r="G1" s="205"/>
      <c r="H1" s="205"/>
      <c r="I1" s="205"/>
      <c r="J1" s="205"/>
      <c r="K1" s="205"/>
      <c r="L1" s="205"/>
      <c r="M1" s="207"/>
    </row>
    <row r="2" spans="1:13" x14ac:dyDescent="0.2">
      <c r="A2" s="1498" t="s">
        <v>211</v>
      </c>
      <c r="B2" s="1499"/>
      <c r="C2" s="1499"/>
      <c r="D2" s="222">
        <f>'Input Data'!D28</f>
        <v>0</v>
      </c>
      <c r="E2" s="208" t="s">
        <v>297</v>
      </c>
      <c r="F2" s="223">
        <f>'Input Data'!D5</f>
        <v>0</v>
      </c>
      <c r="G2" s="124"/>
      <c r="H2" s="1499" t="s">
        <v>116</v>
      </c>
      <c r="I2" s="1499"/>
      <c r="J2" s="1500"/>
      <c r="K2" s="224" t="str">
        <f>IF('Input Data'!D17="NONE","N","Y")</f>
        <v>Y</v>
      </c>
      <c r="L2" s="124"/>
      <c r="M2" s="130"/>
    </row>
    <row r="3" spans="1:13" ht="15.75" thickBot="1" x14ac:dyDescent="0.25">
      <c r="A3" s="210"/>
      <c r="B3" s="211"/>
      <c r="C3" s="124"/>
      <c r="D3" s="124"/>
      <c r="E3" s="124"/>
      <c r="F3" s="124"/>
      <c r="G3" s="124"/>
      <c r="H3" s="211"/>
      <c r="I3" s="211"/>
      <c r="J3" s="212"/>
      <c r="K3" s="124"/>
      <c r="L3" s="124"/>
      <c r="M3" s="213"/>
    </row>
    <row r="4" spans="1:13" ht="67.5" customHeight="1" thickTop="1" thickBot="1" x14ac:dyDescent="0.25">
      <c r="A4" s="214" t="s">
        <v>212</v>
      </c>
      <c r="B4" s="356" t="s">
        <v>8</v>
      </c>
      <c r="C4" s="774" t="s">
        <v>416</v>
      </c>
      <c r="D4" s="774" t="s">
        <v>417</v>
      </c>
      <c r="E4" s="215" t="s">
        <v>418</v>
      </c>
      <c r="F4" s="775" t="s">
        <v>419</v>
      </c>
      <c r="G4" s="45"/>
      <c r="H4" s="214" t="s">
        <v>212</v>
      </c>
      <c r="I4" s="356" t="s">
        <v>8</v>
      </c>
      <c r="J4" s="774" t="s">
        <v>416</v>
      </c>
      <c r="K4" s="774" t="s">
        <v>417</v>
      </c>
      <c r="L4" s="215" t="s">
        <v>418</v>
      </c>
      <c r="M4" s="775" t="s">
        <v>419</v>
      </c>
    </row>
    <row r="5" spans="1:13" ht="27" thickTop="1" thickBot="1" x14ac:dyDescent="0.25">
      <c r="A5" s="216" t="s">
        <v>213</v>
      </c>
      <c r="B5" s="359"/>
      <c r="C5" s="893">
        <v>0</v>
      </c>
      <c r="D5" s="894">
        <f>IF($K$2="Y",((C5-E5)/1.14),C5)</f>
        <v>0</v>
      </c>
      <c r="E5" s="893">
        <v>0</v>
      </c>
      <c r="F5" s="895">
        <f>SUM(D5:E5)</f>
        <v>0</v>
      </c>
      <c r="G5" s="29"/>
      <c r="H5" s="217" t="s">
        <v>214</v>
      </c>
      <c r="I5" s="358"/>
      <c r="J5" s="898">
        <f>C42</f>
        <v>0</v>
      </c>
      <c r="K5" s="899">
        <f>D42</f>
        <v>0</v>
      </c>
      <c r="L5" s="898">
        <f>E42</f>
        <v>0</v>
      </c>
      <c r="M5" s="900">
        <f>SUM(K5:L5)</f>
        <v>0</v>
      </c>
    </row>
    <row r="6" spans="1:13" x14ac:dyDescent="0.2">
      <c r="A6" s="218">
        <f t="shared" ref="A6:A41" si="0">A5+1</f>
        <v>2</v>
      </c>
      <c r="B6" s="360"/>
      <c r="C6" s="893">
        <v>0</v>
      </c>
      <c r="D6" s="894">
        <f t="shared" ref="D6:D41" si="1">IF($K$2="Y",((C6-E6)/1.14),C6)</f>
        <v>0</v>
      </c>
      <c r="E6" s="893">
        <v>0</v>
      </c>
      <c r="F6" s="895">
        <f t="shared" ref="F6:F41" si="2">SUM(D6:E6)</f>
        <v>0</v>
      </c>
      <c r="G6" s="29"/>
      <c r="H6" s="219" t="s">
        <v>215</v>
      </c>
      <c r="I6" s="359"/>
      <c r="J6" s="901">
        <v>0</v>
      </c>
      <c r="K6" s="894">
        <f t="shared" ref="K6:K41" si="3">IF($K$2="Y",((J6-L6)/1.14),J6)</f>
        <v>0</v>
      </c>
      <c r="L6" s="901">
        <v>0</v>
      </c>
      <c r="M6" s="902">
        <f t="shared" ref="M6:M41" si="4">SUM(K6:L6)</f>
        <v>0</v>
      </c>
    </row>
    <row r="7" spans="1:13" x14ac:dyDescent="0.2">
      <c r="A7" s="218">
        <f t="shared" si="0"/>
        <v>3</v>
      </c>
      <c r="B7" s="360"/>
      <c r="C7" s="893">
        <v>0</v>
      </c>
      <c r="D7" s="894">
        <f t="shared" si="1"/>
        <v>0</v>
      </c>
      <c r="E7" s="893">
        <v>0</v>
      </c>
      <c r="F7" s="895">
        <f t="shared" si="2"/>
        <v>0</v>
      </c>
      <c r="G7" s="29"/>
      <c r="H7" s="218">
        <f t="shared" ref="H7:H41" si="5">H6+1</f>
        <v>39</v>
      </c>
      <c r="I7" s="360"/>
      <c r="J7" s="893">
        <v>0</v>
      </c>
      <c r="K7" s="894">
        <f t="shared" si="3"/>
        <v>0</v>
      </c>
      <c r="L7" s="893">
        <v>0</v>
      </c>
      <c r="M7" s="895">
        <f t="shared" si="4"/>
        <v>0</v>
      </c>
    </row>
    <row r="8" spans="1:13" x14ac:dyDescent="0.2">
      <c r="A8" s="218">
        <f t="shared" si="0"/>
        <v>4</v>
      </c>
      <c r="B8" s="360"/>
      <c r="C8" s="893">
        <v>0</v>
      </c>
      <c r="D8" s="894">
        <f t="shared" si="1"/>
        <v>0</v>
      </c>
      <c r="E8" s="893">
        <v>0</v>
      </c>
      <c r="F8" s="895">
        <f t="shared" si="2"/>
        <v>0</v>
      </c>
      <c r="G8" s="29"/>
      <c r="H8" s="218">
        <f t="shared" si="5"/>
        <v>40</v>
      </c>
      <c r="I8" s="360"/>
      <c r="J8" s="893">
        <v>0</v>
      </c>
      <c r="K8" s="894">
        <f t="shared" si="3"/>
        <v>0</v>
      </c>
      <c r="L8" s="893">
        <v>0</v>
      </c>
      <c r="M8" s="895">
        <f t="shared" si="4"/>
        <v>0</v>
      </c>
    </row>
    <row r="9" spans="1:13" x14ac:dyDescent="0.2">
      <c r="A9" s="218">
        <f t="shared" si="0"/>
        <v>5</v>
      </c>
      <c r="B9" s="360"/>
      <c r="C9" s="893">
        <v>0</v>
      </c>
      <c r="D9" s="894">
        <f t="shared" si="1"/>
        <v>0</v>
      </c>
      <c r="E9" s="893">
        <v>0</v>
      </c>
      <c r="F9" s="895">
        <f t="shared" si="2"/>
        <v>0</v>
      </c>
      <c r="G9" s="29"/>
      <c r="H9" s="218">
        <f t="shared" si="5"/>
        <v>41</v>
      </c>
      <c r="I9" s="360"/>
      <c r="J9" s="893">
        <v>0</v>
      </c>
      <c r="K9" s="894">
        <f t="shared" si="3"/>
        <v>0</v>
      </c>
      <c r="L9" s="893">
        <v>0</v>
      </c>
      <c r="M9" s="895">
        <f t="shared" si="4"/>
        <v>0</v>
      </c>
    </row>
    <row r="10" spans="1:13" x14ac:dyDescent="0.2">
      <c r="A10" s="218">
        <f t="shared" si="0"/>
        <v>6</v>
      </c>
      <c r="B10" s="360"/>
      <c r="C10" s="893">
        <v>0</v>
      </c>
      <c r="D10" s="894">
        <f t="shared" si="1"/>
        <v>0</v>
      </c>
      <c r="E10" s="893">
        <v>0</v>
      </c>
      <c r="F10" s="895">
        <f t="shared" si="2"/>
        <v>0</v>
      </c>
      <c r="G10" s="29"/>
      <c r="H10" s="218">
        <f t="shared" si="5"/>
        <v>42</v>
      </c>
      <c r="I10" s="360"/>
      <c r="J10" s="893">
        <v>0</v>
      </c>
      <c r="K10" s="894">
        <f t="shared" si="3"/>
        <v>0</v>
      </c>
      <c r="L10" s="893">
        <v>0</v>
      </c>
      <c r="M10" s="895">
        <f t="shared" si="4"/>
        <v>0</v>
      </c>
    </row>
    <row r="11" spans="1:13" x14ac:dyDescent="0.2">
      <c r="A11" s="218">
        <f t="shared" si="0"/>
        <v>7</v>
      </c>
      <c r="B11" s="360"/>
      <c r="C11" s="893">
        <v>0</v>
      </c>
      <c r="D11" s="894">
        <f t="shared" si="1"/>
        <v>0</v>
      </c>
      <c r="E11" s="893">
        <v>0</v>
      </c>
      <c r="F11" s="895">
        <f t="shared" si="2"/>
        <v>0</v>
      </c>
      <c r="G11" s="29"/>
      <c r="H11" s="218">
        <f t="shared" si="5"/>
        <v>43</v>
      </c>
      <c r="I11" s="360"/>
      <c r="J11" s="893">
        <v>0</v>
      </c>
      <c r="K11" s="894">
        <f t="shared" si="3"/>
        <v>0</v>
      </c>
      <c r="L11" s="893">
        <v>0</v>
      </c>
      <c r="M11" s="895">
        <f t="shared" si="4"/>
        <v>0</v>
      </c>
    </row>
    <row r="12" spans="1:13" x14ac:dyDescent="0.2">
      <c r="A12" s="218">
        <f t="shared" si="0"/>
        <v>8</v>
      </c>
      <c r="B12" s="360"/>
      <c r="C12" s="893">
        <v>0</v>
      </c>
      <c r="D12" s="894">
        <f t="shared" si="1"/>
        <v>0</v>
      </c>
      <c r="E12" s="893">
        <v>0</v>
      </c>
      <c r="F12" s="895">
        <f t="shared" si="2"/>
        <v>0</v>
      </c>
      <c r="G12" s="29"/>
      <c r="H12" s="218">
        <f t="shared" si="5"/>
        <v>44</v>
      </c>
      <c r="I12" s="360"/>
      <c r="J12" s="893">
        <v>0</v>
      </c>
      <c r="K12" s="894">
        <f t="shared" si="3"/>
        <v>0</v>
      </c>
      <c r="L12" s="893">
        <v>0</v>
      </c>
      <c r="M12" s="895">
        <f t="shared" si="4"/>
        <v>0</v>
      </c>
    </row>
    <row r="13" spans="1:13" x14ac:dyDescent="0.2">
      <c r="A13" s="218">
        <f t="shared" si="0"/>
        <v>9</v>
      </c>
      <c r="B13" s="360"/>
      <c r="C13" s="893">
        <v>0</v>
      </c>
      <c r="D13" s="894">
        <f t="shared" si="1"/>
        <v>0</v>
      </c>
      <c r="E13" s="893">
        <v>0</v>
      </c>
      <c r="F13" s="895">
        <f t="shared" si="2"/>
        <v>0</v>
      </c>
      <c r="G13" s="29"/>
      <c r="H13" s="218">
        <f t="shared" si="5"/>
        <v>45</v>
      </c>
      <c r="I13" s="360"/>
      <c r="J13" s="893">
        <v>0</v>
      </c>
      <c r="K13" s="894">
        <f t="shared" si="3"/>
        <v>0</v>
      </c>
      <c r="L13" s="893">
        <v>0</v>
      </c>
      <c r="M13" s="895">
        <f t="shared" si="4"/>
        <v>0</v>
      </c>
    </row>
    <row r="14" spans="1:13" x14ac:dyDescent="0.2">
      <c r="A14" s="218">
        <f t="shared" si="0"/>
        <v>10</v>
      </c>
      <c r="B14" s="360"/>
      <c r="C14" s="893">
        <v>0</v>
      </c>
      <c r="D14" s="894">
        <f t="shared" si="1"/>
        <v>0</v>
      </c>
      <c r="E14" s="893">
        <v>0</v>
      </c>
      <c r="F14" s="895">
        <f t="shared" si="2"/>
        <v>0</v>
      </c>
      <c r="G14" s="29"/>
      <c r="H14" s="218">
        <f t="shared" si="5"/>
        <v>46</v>
      </c>
      <c r="I14" s="360"/>
      <c r="J14" s="893">
        <v>0</v>
      </c>
      <c r="K14" s="894">
        <f t="shared" si="3"/>
        <v>0</v>
      </c>
      <c r="L14" s="893">
        <v>0</v>
      </c>
      <c r="M14" s="895">
        <f t="shared" si="4"/>
        <v>0</v>
      </c>
    </row>
    <row r="15" spans="1:13" x14ac:dyDescent="0.2">
      <c r="A15" s="218">
        <f t="shared" si="0"/>
        <v>11</v>
      </c>
      <c r="B15" s="360"/>
      <c r="C15" s="893">
        <v>0</v>
      </c>
      <c r="D15" s="894">
        <f t="shared" si="1"/>
        <v>0</v>
      </c>
      <c r="E15" s="893">
        <v>0</v>
      </c>
      <c r="F15" s="895">
        <f t="shared" si="2"/>
        <v>0</v>
      </c>
      <c r="G15" s="29"/>
      <c r="H15" s="218">
        <f t="shared" si="5"/>
        <v>47</v>
      </c>
      <c r="I15" s="360"/>
      <c r="J15" s="893">
        <v>0</v>
      </c>
      <c r="K15" s="894">
        <f t="shared" si="3"/>
        <v>0</v>
      </c>
      <c r="L15" s="893">
        <v>0</v>
      </c>
      <c r="M15" s="895">
        <f t="shared" si="4"/>
        <v>0</v>
      </c>
    </row>
    <row r="16" spans="1:13" x14ac:dyDescent="0.2">
      <c r="A16" s="218">
        <f t="shared" si="0"/>
        <v>12</v>
      </c>
      <c r="B16" s="360"/>
      <c r="C16" s="893">
        <v>0</v>
      </c>
      <c r="D16" s="894">
        <f t="shared" si="1"/>
        <v>0</v>
      </c>
      <c r="E16" s="893">
        <v>0</v>
      </c>
      <c r="F16" s="895">
        <f t="shared" si="2"/>
        <v>0</v>
      </c>
      <c r="G16" s="29"/>
      <c r="H16" s="218">
        <f t="shared" si="5"/>
        <v>48</v>
      </c>
      <c r="I16" s="360"/>
      <c r="J16" s="893">
        <v>0</v>
      </c>
      <c r="K16" s="894">
        <f t="shared" si="3"/>
        <v>0</v>
      </c>
      <c r="L16" s="893">
        <v>0</v>
      </c>
      <c r="M16" s="895">
        <f t="shared" si="4"/>
        <v>0</v>
      </c>
    </row>
    <row r="17" spans="1:13" x14ac:dyDescent="0.2">
      <c r="A17" s="218">
        <f t="shared" si="0"/>
        <v>13</v>
      </c>
      <c r="B17" s="360"/>
      <c r="C17" s="893">
        <v>0</v>
      </c>
      <c r="D17" s="894">
        <f t="shared" si="1"/>
        <v>0</v>
      </c>
      <c r="E17" s="893">
        <v>0</v>
      </c>
      <c r="F17" s="895">
        <f t="shared" si="2"/>
        <v>0</v>
      </c>
      <c r="G17" s="29"/>
      <c r="H17" s="218">
        <f t="shared" si="5"/>
        <v>49</v>
      </c>
      <c r="I17" s="360"/>
      <c r="J17" s="893">
        <v>0</v>
      </c>
      <c r="K17" s="894">
        <f t="shared" si="3"/>
        <v>0</v>
      </c>
      <c r="L17" s="893">
        <v>0</v>
      </c>
      <c r="M17" s="895">
        <f t="shared" si="4"/>
        <v>0</v>
      </c>
    </row>
    <row r="18" spans="1:13" x14ac:dyDescent="0.2">
      <c r="A18" s="218">
        <f t="shared" si="0"/>
        <v>14</v>
      </c>
      <c r="B18" s="360"/>
      <c r="C18" s="893">
        <v>0</v>
      </c>
      <c r="D18" s="894">
        <f t="shared" si="1"/>
        <v>0</v>
      </c>
      <c r="E18" s="893">
        <v>0</v>
      </c>
      <c r="F18" s="895">
        <f t="shared" si="2"/>
        <v>0</v>
      </c>
      <c r="G18" s="29"/>
      <c r="H18" s="218">
        <f t="shared" si="5"/>
        <v>50</v>
      </c>
      <c r="I18" s="360"/>
      <c r="J18" s="893">
        <v>0</v>
      </c>
      <c r="K18" s="894">
        <f t="shared" si="3"/>
        <v>0</v>
      </c>
      <c r="L18" s="893">
        <v>0</v>
      </c>
      <c r="M18" s="895">
        <f t="shared" si="4"/>
        <v>0</v>
      </c>
    </row>
    <row r="19" spans="1:13" x14ac:dyDescent="0.2">
      <c r="A19" s="218">
        <f t="shared" si="0"/>
        <v>15</v>
      </c>
      <c r="B19" s="360"/>
      <c r="C19" s="893">
        <v>0</v>
      </c>
      <c r="D19" s="894">
        <f t="shared" si="1"/>
        <v>0</v>
      </c>
      <c r="E19" s="893">
        <v>0</v>
      </c>
      <c r="F19" s="895">
        <f t="shared" si="2"/>
        <v>0</v>
      </c>
      <c r="G19" s="29"/>
      <c r="H19" s="218">
        <f t="shared" si="5"/>
        <v>51</v>
      </c>
      <c r="I19" s="360"/>
      <c r="J19" s="893">
        <v>0</v>
      </c>
      <c r="K19" s="894">
        <f t="shared" si="3"/>
        <v>0</v>
      </c>
      <c r="L19" s="893">
        <v>0</v>
      </c>
      <c r="M19" s="895">
        <f t="shared" si="4"/>
        <v>0</v>
      </c>
    </row>
    <row r="20" spans="1:13" x14ac:dyDescent="0.2">
      <c r="A20" s="218">
        <f t="shared" si="0"/>
        <v>16</v>
      </c>
      <c r="B20" s="360"/>
      <c r="C20" s="893">
        <v>0</v>
      </c>
      <c r="D20" s="894">
        <f t="shared" si="1"/>
        <v>0</v>
      </c>
      <c r="E20" s="893">
        <v>0</v>
      </c>
      <c r="F20" s="895">
        <f t="shared" si="2"/>
        <v>0</v>
      </c>
      <c r="G20" s="29"/>
      <c r="H20" s="218">
        <f t="shared" si="5"/>
        <v>52</v>
      </c>
      <c r="I20" s="360"/>
      <c r="J20" s="893">
        <v>0</v>
      </c>
      <c r="K20" s="894">
        <f t="shared" si="3"/>
        <v>0</v>
      </c>
      <c r="L20" s="893">
        <v>0</v>
      </c>
      <c r="M20" s="895">
        <f t="shared" si="4"/>
        <v>0</v>
      </c>
    </row>
    <row r="21" spans="1:13" x14ac:dyDescent="0.2">
      <c r="A21" s="218">
        <f t="shared" si="0"/>
        <v>17</v>
      </c>
      <c r="B21" s="360"/>
      <c r="C21" s="893">
        <v>0</v>
      </c>
      <c r="D21" s="894">
        <f t="shared" si="1"/>
        <v>0</v>
      </c>
      <c r="E21" s="893">
        <v>0</v>
      </c>
      <c r="F21" s="895">
        <f t="shared" si="2"/>
        <v>0</v>
      </c>
      <c r="G21" s="220"/>
      <c r="H21" s="218">
        <f t="shared" si="5"/>
        <v>53</v>
      </c>
      <c r="I21" s="360"/>
      <c r="J21" s="893">
        <v>0</v>
      </c>
      <c r="K21" s="894">
        <f t="shared" si="3"/>
        <v>0</v>
      </c>
      <c r="L21" s="893">
        <v>0</v>
      </c>
      <c r="M21" s="895">
        <f t="shared" si="4"/>
        <v>0</v>
      </c>
    </row>
    <row r="22" spans="1:13" x14ac:dyDescent="0.2">
      <c r="A22" s="218">
        <f t="shared" si="0"/>
        <v>18</v>
      </c>
      <c r="B22" s="360"/>
      <c r="C22" s="893">
        <v>0</v>
      </c>
      <c r="D22" s="894">
        <f t="shared" si="1"/>
        <v>0</v>
      </c>
      <c r="E22" s="893">
        <v>0</v>
      </c>
      <c r="F22" s="895">
        <f t="shared" si="2"/>
        <v>0</v>
      </c>
      <c r="G22" s="220"/>
      <c r="H22" s="218">
        <f t="shared" si="5"/>
        <v>54</v>
      </c>
      <c r="I22" s="360"/>
      <c r="J22" s="893">
        <v>0</v>
      </c>
      <c r="K22" s="894">
        <f t="shared" si="3"/>
        <v>0</v>
      </c>
      <c r="L22" s="893">
        <v>0</v>
      </c>
      <c r="M22" s="895">
        <f t="shared" si="4"/>
        <v>0</v>
      </c>
    </row>
    <row r="23" spans="1:13" x14ac:dyDescent="0.2">
      <c r="A23" s="218">
        <f t="shared" si="0"/>
        <v>19</v>
      </c>
      <c r="B23" s="360"/>
      <c r="C23" s="893">
        <v>0</v>
      </c>
      <c r="D23" s="894">
        <f t="shared" si="1"/>
        <v>0</v>
      </c>
      <c r="E23" s="893">
        <v>0</v>
      </c>
      <c r="F23" s="895">
        <f t="shared" si="2"/>
        <v>0</v>
      </c>
      <c r="G23" s="220"/>
      <c r="H23" s="218">
        <f t="shared" si="5"/>
        <v>55</v>
      </c>
      <c r="I23" s="360"/>
      <c r="J23" s="893">
        <v>0</v>
      </c>
      <c r="K23" s="894">
        <f t="shared" si="3"/>
        <v>0</v>
      </c>
      <c r="L23" s="893">
        <v>0</v>
      </c>
      <c r="M23" s="895">
        <f t="shared" si="4"/>
        <v>0</v>
      </c>
    </row>
    <row r="24" spans="1:13" x14ac:dyDescent="0.2">
      <c r="A24" s="218">
        <f t="shared" si="0"/>
        <v>20</v>
      </c>
      <c r="B24" s="360"/>
      <c r="C24" s="893">
        <v>0</v>
      </c>
      <c r="D24" s="894">
        <f t="shared" si="1"/>
        <v>0</v>
      </c>
      <c r="E24" s="893">
        <v>0</v>
      </c>
      <c r="F24" s="895">
        <f t="shared" si="2"/>
        <v>0</v>
      </c>
      <c r="G24" s="29"/>
      <c r="H24" s="218">
        <f t="shared" si="5"/>
        <v>56</v>
      </c>
      <c r="I24" s="360"/>
      <c r="J24" s="893">
        <v>0</v>
      </c>
      <c r="K24" s="894">
        <f t="shared" si="3"/>
        <v>0</v>
      </c>
      <c r="L24" s="893">
        <v>0</v>
      </c>
      <c r="M24" s="895">
        <f t="shared" si="4"/>
        <v>0</v>
      </c>
    </row>
    <row r="25" spans="1:13" x14ac:dyDescent="0.2">
      <c r="A25" s="218">
        <f t="shared" si="0"/>
        <v>21</v>
      </c>
      <c r="B25" s="360"/>
      <c r="C25" s="893">
        <v>0</v>
      </c>
      <c r="D25" s="894">
        <f t="shared" si="1"/>
        <v>0</v>
      </c>
      <c r="E25" s="893">
        <v>0</v>
      </c>
      <c r="F25" s="895">
        <f t="shared" si="2"/>
        <v>0</v>
      </c>
      <c r="G25" s="29"/>
      <c r="H25" s="218">
        <f t="shared" si="5"/>
        <v>57</v>
      </c>
      <c r="I25" s="360"/>
      <c r="J25" s="893">
        <v>0</v>
      </c>
      <c r="K25" s="894">
        <f t="shared" si="3"/>
        <v>0</v>
      </c>
      <c r="L25" s="893">
        <v>0</v>
      </c>
      <c r="M25" s="895">
        <f t="shared" si="4"/>
        <v>0</v>
      </c>
    </row>
    <row r="26" spans="1:13" x14ac:dyDescent="0.2">
      <c r="A26" s="218">
        <f t="shared" si="0"/>
        <v>22</v>
      </c>
      <c r="B26" s="360"/>
      <c r="C26" s="893">
        <v>0</v>
      </c>
      <c r="D26" s="894">
        <f t="shared" si="1"/>
        <v>0</v>
      </c>
      <c r="E26" s="893">
        <v>0</v>
      </c>
      <c r="F26" s="895">
        <f t="shared" si="2"/>
        <v>0</v>
      </c>
      <c r="G26" s="29"/>
      <c r="H26" s="218">
        <f t="shared" si="5"/>
        <v>58</v>
      </c>
      <c r="I26" s="360"/>
      <c r="J26" s="893">
        <v>0</v>
      </c>
      <c r="K26" s="894">
        <f t="shared" si="3"/>
        <v>0</v>
      </c>
      <c r="L26" s="893">
        <v>0</v>
      </c>
      <c r="M26" s="895">
        <f t="shared" si="4"/>
        <v>0</v>
      </c>
    </row>
    <row r="27" spans="1:13" x14ac:dyDescent="0.2">
      <c r="A27" s="218">
        <f t="shared" si="0"/>
        <v>23</v>
      </c>
      <c r="B27" s="360"/>
      <c r="C27" s="893">
        <v>0</v>
      </c>
      <c r="D27" s="894">
        <f t="shared" si="1"/>
        <v>0</v>
      </c>
      <c r="E27" s="893">
        <v>0</v>
      </c>
      <c r="F27" s="895">
        <f t="shared" si="2"/>
        <v>0</v>
      </c>
      <c r="G27" s="29"/>
      <c r="H27" s="218">
        <f t="shared" si="5"/>
        <v>59</v>
      </c>
      <c r="I27" s="360"/>
      <c r="J27" s="893">
        <v>0</v>
      </c>
      <c r="K27" s="894">
        <f t="shared" si="3"/>
        <v>0</v>
      </c>
      <c r="L27" s="893">
        <v>0</v>
      </c>
      <c r="M27" s="895">
        <f t="shared" si="4"/>
        <v>0</v>
      </c>
    </row>
    <row r="28" spans="1:13" x14ac:dyDescent="0.2">
      <c r="A28" s="218">
        <f t="shared" si="0"/>
        <v>24</v>
      </c>
      <c r="B28" s="360"/>
      <c r="C28" s="893">
        <v>0</v>
      </c>
      <c r="D28" s="894">
        <f t="shared" si="1"/>
        <v>0</v>
      </c>
      <c r="E28" s="893">
        <v>0</v>
      </c>
      <c r="F28" s="895">
        <f t="shared" si="2"/>
        <v>0</v>
      </c>
      <c r="G28" s="29"/>
      <c r="H28" s="218">
        <f t="shared" si="5"/>
        <v>60</v>
      </c>
      <c r="I28" s="360"/>
      <c r="J28" s="893">
        <v>0</v>
      </c>
      <c r="K28" s="894">
        <f t="shared" si="3"/>
        <v>0</v>
      </c>
      <c r="L28" s="893">
        <v>0</v>
      </c>
      <c r="M28" s="895">
        <f t="shared" si="4"/>
        <v>0</v>
      </c>
    </row>
    <row r="29" spans="1:13" x14ac:dyDescent="0.2">
      <c r="A29" s="218">
        <f t="shared" si="0"/>
        <v>25</v>
      </c>
      <c r="B29" s="360"/>
      <c r="C29" s="893">
        <v>0</v>
      </c>
      <c r="D29" s="894">
        <f t="shared" si="1"/>
        <v>0</v>
      </c>
      <c r="E29" s="893">
        <v>0</v>
      </c>
      <c r="F29" s="895">
        <f t="shared" si="2"/>
        <v>0</v>
      </c>
      <c r="G29" s="29"/>
      <c r="H29" s="218">
        <f t="shared" si="5"/>
        <v>61</v>
      </c>
      <c r="I29" s="360"/>
      <c r="J29" s="893">
        <v>0</v>
      </c>
      <c r="K29" s="894">
        <f t="shared" si="3"/>
        <v>0</v>
      </c>
      <c r="L29" s="893">
        <v>0</v>
      </c>
      <c r="M29" s="895">
        <f t="shared" si="4"/>
        <v>0</v>
      </c>
    </row>
    <row r="30" spans="1:13" x14ac:dyDescent="0.2">
      <c r="A30" s="218">
        <f t="shared" si="0"/>
        <v>26</v>
      </c>
      <c r="B30" s="360"/>
      <c r="C30" s="893">
        <v>0</v>
      </c>
      <c r="D30" s="894">
        <f t="shared" si="1"/>
        <v>0</v>
      </c>
      <c r="E30" s="893">
        <v>0</v>
      </c>
      <c r="F30" s="895">
        <f t="shared" si="2"/>
        <v>0</v>
      </c>
      <c r="G30" s="29"/>
      <c r="H30" s="218">
        <f t="shared" si="5"/>
        <v>62</v>
      </c>
      <c r="I30" s="360"/>
      <c r="J30" s="893">
        <v>0</v>
      </c>
      <c r="K30" s="894">
        <f t="shared" si="3"/>
        <v>0</v>
      </c>
      <c r="L30" s="893">
        <v>0</v>
      </c>
      <c r="M30" s="895">
        <f t="shared" si="4"/>
        <v>0</v>
      </c>
    </row>
    <row r="31" spans="1:13" x14ac:dyDescent="0.2">
      <c r="A31" s="218">
        <f t="shared" si="0"/>
        <v>27</v>
      </c>
      <c r="B31" s="360"/>
      <c r="C31" s="893">
        <v>0</v>
      </c>
      <c r="D31" s="894">
        <f t="shared" si="1"/>
        <v>0</v>
      </c>
      <c r="E31" s="893">
        <v>0</v>
      </c>
      <c r="F31" s="895">
        <f t="shared" si="2"/>
        <v>0</v>
      </c>
      <c r="G31" s="29"/>
      <c r="H31" s="218">
        <f t="shared" si="5"/>
        <v>63</v>
      </c>
      <c r="I31" s="360"/>
      <c r="J31" s="893">
        <v>0</v>
      </c>
      <c r="K31" s="894">
        <f t="shared" si="3"/>
        <v>0</v>
      </c>
      <c r="L31" s="893">
        <v>0</v>
      </c>
      <c r="M31" s="895">
        <f t="shared" si="4"/>
        <v>0</v>
      </c>
    </row>
    <row r="32" spans="1:13" x14ac:dyDescent="0.2">
      <c r="A32" s="218">
        <f t="shared" si="0"/>
        <v>28</v>
      </c>
      <c r="B32" s="360"/>
      <c r="C32" s="893">
        <v>0</v>
      </c>
      <c r="D32" s="894">
        <f t="shared" si="1"/>
        <v>0</v>
      </c>
      <c r="E32" s="893">
        <v>0</v>
      </c>
      <c r="F32" s="895">
        <f t="shared" si="2"/>
        <v>0</v>
      </c>
      <c r="G32" s="29"/>
      <c r="H32" s="218">
        <f t="shared" si="5"/>
        <v>64</v>
      </c>
      <c r="I32" s="360"/>
      <c r="J32" s="893">
        <v>0</v>
      </c>
      <c r="K32" s="894">
        <f t="shared" si="3"/>
        <v>0</v>
      </c>
      <c r="L32" s="893">
        <v>0</v>
      </c>
      <c r="M32" s="895">
        <f t="shared" si="4"/>
        <v>0</v>
      </c>
    </row>
    <row r="33" spans="1:13" x14ac:dyDescent="0.2">
      <c r="A33" s="218">
        <f t="shared" si="0"/>
        <v>29</v>
      </c>
      <c r="B33" s="360"/>
      <c r="C33" s="893">
        <v>0</v>
      </c>
      <c r="D33" s="894">
        <f t="shared" si="1"/>
        <v>0</v>
      </c>
      <c r="E33" s="893">
        <v>0</v>
      </c>
      <c r="F33" s="895">
        <f t="shared" si="2"/>
        <v>0</v>
      </c>
      <c r="G33" s="29"/>
      <c r="H33" s="218">
        <f t="shared" si="5"/>
        <v>65</v>
      </c>
      <c r="I33" s="360"/>
      <c r="J33" s="893">
        <v>0</v>
      </c>
      <c r="K33" s="894">
        <f t="shared" si="3"/>
        <v>0</v>
      </c>
      <c r="L33" s="893">
        <v>0</v>
      </c>
      <c r="M33" s="895">
        <f t="shared" si="4"/>
        <v>0</v>
      </c>
    </row>
    <row r="34" spans="1:13" x14ac:dyDescent="0.2">
      <c r="A34" s="218">
        <f t="shared" si="0"/>
        <v>30</v>
      </c>
      <c r="B34" s="360"/>
      <c r="C34" s="893">
        <v>0</v>
      </c>
      <c r="D34" s="894">
        <f t="shared" si="1"/>
        <v>0</v>
      </c>
      <c r="E34" s="893">
        <v>0</v>
      </c>
      <c r="F34" s="895">
        <f t="shared" si="2"/>
        <v>0</v>
      </c>
      <c r="G34" s="29"/>
      <c r="H34" s="218">
        <f t="shared" si="5"/>
        <v>66</v>
      </c>
      <c r="I34" s="360"/>
      <c r="J34" s="893">
        <v>0</v>
      </c>
      <c r="K34" s="894">
        <f t="shared" si="3"/>
        <v>0</v>
      </c>
      <c r="L34" s="893">
        <v>0</v>
      </c>
      <c r="M34" s="895">
        <f t="shared" si="4"/>
        <v>0</v>
      </c>
    </row>
    <row r="35" spans="1:13" x14ac:dyDescent="0.2">
      <c r="A35" s="218">
        <f t="shared" si="0"/>
        <v>31</v>
      </c>
      <c r="B35" s="360"/>
      <c r="C35" s="893">
        <v>0</v>
      </c>
      <c r="D35" s="894">
        <f t="shared" si="1"/>
        <v>0</v>
      </c>
      <c r="E35" s="893">
        <v>0</v>
      </c>
      <c r="F35" s="895">
        <f t="shared" si="2"/>
        <v>0</v>
      </c>
      <c r="G35" s="29"/>
      <c r="H35" s="218">
        <f t="shared" si="5"/>
        <v>67</v>
      </c>
      <c r="I35" s="360"/>
      <c r="J35" s="893">
        <v>0</v>
      </c>
      <c r="K35" s="894">
        <f t="shared" si="3"/>
        <v>0</v>
      </c>
      <c r="L35" s="893">
        <v>0</v>
      </c>
      <c r="M35" s="895">
        <f t="shared" si="4"/>
        <v>0</v>
      </c>
    </row>
    <row r="36" spans="1:13" x14ac:dyDescent="0.2">
      <c r="A36" s="218">
        <f t="shared" si="0"/>
        <v>32</v>
      </c>
      <c r="B36" s="360"/>
      <c r="C36" s="893">
        <v>0</v>
      </c>
      <c r="D36" s="894">
        <f t="shared" si="1"/>
        <v>0</v>
      </c>
      <c r="E36" s="893">
        <v>0</v>
      </c>
      <c r="F36" s="895">
        <f t="shared" si="2"/>
        <v>0</v>
      </c>
      <c r="G36" s="29"/>
      <c r="H36" s="218">
        <f t="shared" si="5"/>
        <v>68</v>
      </c>
      <c r="I36" s="360"/>
      <c r="J36" s="893">
        <v>0</v>
      </c>
      <c r="K36" s="894">
        <f t="shared" si="3"/>
        <v>0</v>
      </c>
      <c r="L36" s="893">
        <v>0</v>
      </c>
      <c r="M36" s="895">
        <f t="shared" si="4"/>
        <v>0</v>
      </c>
    </row>
    <row r="37" spans="1:13" x14ac:dyDescent="0.2">
      <c r="A37" s="218">
        <f t="shared" si="0"/>
        <v>33</v>
      </c>
      <c r="B37" s="360"/>
      <c r="C37" s="893">
        <v>0</v>
      </c>
      <c r="D37" s="894">
        <f t="shared" si="1"/>
        <v>0</v>
      </c>
      <c r="E37" s="893">
        <v>0</v>
      </c>
      <c r="F37" s="895">
        <f t="shared" si="2"/>
        <v>0</v>
      </c>
      <c r="G37" s="29"/>
      <c r="H37" s="218">
        <f t="shared" si="5"/>
        <v>69</v>
      </c>
      <c r="I37" s="360"/>
      <c r="J37" s="893">
        <v>0</v>
      </c>
      <c r="K37" s="894">
        <f t="shared" si="3"/>
        <v>0</v>
      </c>
      <c r="L37" s="893">
        <v>0</v>
      </c>
      <c r="M37" s="895">
        <f t="shared" si="4"/>
        <v>0</v>
      </c>
    </row>
    <row r="38" spans="1:13" x14ac:dyDescent="0.2">
      <c r="A38" s="218">
        <f t="shared" si="0"/>
        <v>34</v>
      </c>
      <c r="B38" s="360"/>
      <c r="C38" s="893">
        <v>0</v>
      </c>
      <c r="D38" s="894">
        <f t="shared" si="1"/>
        <v>0</v>
      </c>
      <c r="E38" s="893">
        <v>0</v>
      </c>
      <c r="F38" s="895">
        <f t="shared" si="2"/>
        <v>0</v>
      </c>
      <c r="G38" s="29"/>
      <c r="H38" s="218">
        <f t="shared" si="5"/>
        <v>70</v>
      </c>
      <c r="I38" s="360"/>
      <c r="J38" s="893">
        <v>0</v>
      </c>
      <c r="K38" s="894">
        <f t="shared" si="3"/>
        <v>0</v>
      </c>
      <c r="L38" s="893">
        <v>0</v>
      </c>
      <c r="M38" s="895">
        <f t="shared" si="4"/>
        <v>0</v>
      </c>
    </row>
    <row r="39" spans="1:13" x14ac:dyDescent="0.2">
      <c r="A39" s="218">
        <f t="shared" si="0"/>
        <v>35</v>
      </c>
      <c r="B39" s="360"/>
      <c r="C39" s="893">
        <v>0</v>
      </c>
      <c r="D39" s="894">
        <f t="shared" si="1"/>
        <v>0</v>
      </c>
      <c r="E39" s="893">
        <v>0</v>
      </c>
      <c r="F39" s="895">
        <f t="shared" si="2"/>
        <v>0</v>
      </c>
      <c r="G39" s="29"/>
      <c r="H39" s="218">
        <f t="shared" si="5"/>
        <v>71</v>
      </c>
      <c r="I39" s="360"/>
      <c r="J39" s="893">
        <v>0</v>
      </c>
      <c r="K39" s="894">
        <f t="shared" si="3"/>
        <v>0</v>
      </c>
      <c r="L39" s="893">
        <v>0</v>
      </c>
      <c r="M39" s="895">
        <f t="shared" si="4"/>
        <v>0</v>
      </c>
    </row>
    <row r="40" spans="1:13" x14ac:dyDescent="0.2">
      <c r="A40" s="218">
        <f t="shared" si="0"/>
        <v>36</v>
      </c>
      <c r="B40" s="360"/>
      <c r="C40" s="893">
        <v>0</v>
      </c>
      <c r="D40" s="894">
        <f t="shared" si="1"/>
        <v>0</v>
      </c>
      <c r="E40" s="893">
        <v>0</v>
      </c>
      <c r="F40" s="895">
        <f t="shared" si="2"/>
        <v>0</v>
      </c>
      <c r="G40" s="29"/>
      <c r="H40" s="218">
        <f t="shared" si="5"/>
        <v>72</v>
      </c>
      <c r="I40" s="360"/>
      <c r="J40" s="893">
        <v>0</v>
      </c>
      <c r="K40" s="894">
        <f t="shared" si="3"/>
        <v>0</v>
      </c>
      <c r="L40" s="893">
        <v>0</v>
      </c>
      <c r="M40" s="895">
        <f t="shared" si="4"/>
        <v>0</v>
      </c>
    </row>
    <row r="41" spans="1:13" ht="15.75" thickBot="1" x14ac:dyDescent="0.25">
      <c r="A41" s="218">
        <f t="shared" si="0"/>
        <v>37</v>
      </c>
      <c r="B41" s="360"/>
      <c r="C41" s="893">
        <v>0</v>
      </c>
      <c r="D41" s="894">
        <f t="shared" si="1"/>
        <v>0</v>
      </c>
      <c r="E41" s="893">
        <v>0</v>
      </c>
      <c r="F41" s="895">
        <f t="shared" si="2"/>
        <v>0</v>
      </c>
      <c r="G41" s="29"/>
      <c r="H41" s="218">
        <f t="shared" si="5"/>
        <v>73</v>
      </c>
      <c r="I41" s="360"/>
      <c r="J41" s="893">
        <v>0</v>
      </c>
      <c r="K41" s="894">
        <f t="shared" si="3"/>
        <v>0</v>
      </c>
      <c r="L41" s="893">
        <v>0</v>
      </c>
      <c r="M41" s="895">
        <f t="shared" si="4"/>
        <v>0</v>
      </c>
    </row>
    <row r="42" spans="1:13" ht="16.5" thickTop="1" thickBot="1" x14ac:dyDescent="0.25">
      <c r="A42" s="221" t="s">
        <v>6</v>
      </c>
      <c r="B42" s="357"/>
      <c r="C42" s="896">
        <f>SUM(C5:C41)</f>
        <v>0</v>
      </c>
      <c r="D42" s="896">
        <f>SUM(D5:D41)</f>
        <v>0</v>
      </c>
      <c r="E42" s="896">
        <f>SUM(E5:E41)</f>
        <v>0</v>
      </c>
      <c r="F42" s="897">
        <f>SUM(F5:F41)</f>
        <v>0</v>
      </c>
      <c r="G42" s="32"/>
      <c r="H42" s="221" t="s">
        <v>6</v>
      </c>
      <c r="I42" s="903">
        <f>M42-K42</f>
        <v>0</v>
      </c>
      <c r="J42" s="896">
        <f>SUM(J5:J41)</f>
        <v>0</v>
      </c>
      <c r="K42" s="896">
        <f>SUM(K5:K41)</f>
        <v>0</v>
      </c>
      <c r="L42" s="896">
        <f>SUM(L5:L41)</f>
        <v>0</v>
      </c>
      <c r="M42" s="897">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0" type="noConversion"/>
  <printOptions horizontalCentered="1"/>
  <pageMargins left="0.74803149606299213" right="0.74803149606299213" top="0.78740157480314965" bottom="0.78740157480314965" header="0.51181102362204722" footer="0.51181102362204722"/>
  <pageSetup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H82"/>
  <sheetViews>
    <sheetView zoomScale="75" zoomScaleNormal="75" zoomScaleSheetLayoutView="90" workbookViewId="0">
      <selection activeCell="E17" sqref="E17"/>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9.21875" customWidth="1"/>
    <col min="7" max="7" width="7.6640625" customWidth="1"/>
    <col min="8" max="8" width="12.109375" customWidth="1"/>
  </cols>
  <sheetData>
    <row r="1" spans="1:8" ht="15.75" thickTop="1" x14ac:dyDescent="0.2">
      <c r="A1" s="167" t="s">
        <v>32</v>
      </c>
      <c r="B1" s="168"/>
      <c r="C1" s="168"/>
      <c r="D1" s="168"/>
      <c r="E1" s="168"/>
      <c r="F1" s="168"/>
      <c r="G1" s="168"/>
      <c r="H1" s="169"/>
    </row>
    <row r="2" spans="1:8" ht="15.75" x14ac:dyDescent="0.2">
      <c r="A2" s="262" t="s">
        <v>221</v>
      </c>
      <c r="B2" s="171"/>
      <c r="C2" s="171"/>
      <c r="D2" s="2"/>
      <c r="E2" s="2"/>
      <c r="F2" s="2"/>
      <c r="G2" s="171"/>
      <c r="H2" s="337" t="s">
        <v>234</v>
      </c>
    </row>
    <row r="3" spans="1:8" x14ac:dyDescent="0.2">
      <c r="A3" s="170"/>
      <c r="B3" s="1501" t="s">
        <v>357</v>
      </c>
      <c r="C3" s="1501"/>
      <c r="D3" s="222">
        <f>'Input Data'!D28</f>
        <v>0</v>
      </c>
      <c r="E3" s="178" t="s">
        <v>287</v>
      </c>
      <c r="F3" s="261">
        <f>'Input Data'!D5</f>
        <v>0</v>
      </c>
      <c r="G3" s="171"/>
      <c r="H3" s="172"/>
    </row>
    <row r="4" spans="1:8" x14ac:dyDescent="0.2">
      <c r="A4" s="173" t="s">
        <v>33</v>
      </c>
      <c r="B4" s="174" t="s">
        <v>4</v>
      </c>
      <c r="C4" s="171" t="s">
        <v>34</v>
      </c>
      <c r="D4" s="175" t="s">
        <v>33</v>
      </c>
      <c r="E4" s="174" t="s">
        <v>4</v>
      </c>
      <c r="F4" s="171" t="s">
        <v>34</v>
      </c>
      <c r="G4" s="171"/>
      <c r="H4" s="172"/>
    </row>
    <row r="5" spans="1:8" x14ac:dyDescent="0.2">
      <c r="A5" s="176" t="s">
        <v>35</v>
      </c>
      <c r="B5" s="177"/>
      <c r="C5" s="177"/>
      <c r="D5" s="178" t="s">
        <v>36</v>
      </c>
      <c r="E5" s="177"/>
      <c r="F5" s="1502"/>
      <c r="G5" s="1503"/>
      <c r="H5" s="1504"/>
    </row>
    <row r="6" spans="1:8" x14ac:dyDescent="0.2">
      <c r="A6" s="176" t="s">
        <v>37</v>
      </c>
      <c r="B6" s="177"/>
      <c r="C6" s="177"/>
      <c r="D6" s="178" t="s">
        <v>38</v>
      </c>
      <c r="E6" s="179"/>
      <c r="F6" s="1502"/>
      <c r="G6" s="1503"/>
      <c r="H6" s="1504"/>
    </row>
    <row r="7" spans="1:8" x14ac:dyDescent="0.2">
      <c r="A7" s="176" t="s">
        <v>39</v>
      </c>
      <c r="B7" s="179"/>
      <c r="C7" s="177"/>
      <c r="D7" s="178" t="s">
        <v>40</v>
      </c>
      <c r="E7" s="179"/>
      <c r="F7" s="1502"/>
      <c r="G7" s="1503"/>
      <c r="H7" s="1504"/>
    </row>
    <row r="8" spans="1:8" ht="15.75" thickBot="1" x14ac:dyDescent="0.25">
      <c r="A8" s="180"/>
      <c r="B8" s="181"/>
      <c r="C8" s="181"/>
      <c r="D8" s="181"/>
      <c r="E8" s="181"/>
      <c r="F8" s="181"/>
      <c r="G8" s="181"/>
      <c r="H8" s="182"/>
    </row>
    <row r="9" spans="1:8" ht="16.5" thickTop="1" thickBot="1" x14ac:dyDescent="0.25">
      <c r="A9" s="338"/>
      <c r="B9" s="338"/>
      <c r="C9" s="338"/>
      <c r="D9" s="338"/>
      <c r="E9" s="338"/>
      <c r="F9" s="338"/>
      <c r="G9" s="338"/>
      <c r="H9" s="338"/>
    </row>
    <row r="10" spans="1:8" ht="15.75" thickTop="1" x14ac:dyDescent="0.2">
      <c r="A10" s="335" t="s">
        <v>134</v>
      </c>
      <c r="B10" s="339"/>
      <c r="C10" s="339"/>
      <c r="D10" s="339"/>
      <c r="E10" s="339"/>
      <c r="F10" s="339"/>
      <c r="G10" s="339"/>
      <c r="H10" s="340"/>
    </row>
    <row r="11" spans="1:8" ht="30" x14ac:dyDescent="0.2">
      <c r="A11" s="904" t="s">
        <v>4</v>
      </c>
      <c r="B11" s="905" t="s">
        <v>41</v>
      </c>
      <c r="C11" s="906" t="s">
        <v>26</v>
      </c>
      <c r="D11" s="906" t="s">
        <v>42</v>
      </c>
      <c r="E11" s="907" t="s">
        <v>43</v>
      </c>
      <c r="F11" s="906" t="s">
        <v>9</v>
      </c>
      <c r="G11" s="906" t="s">
        <v>424</v>
      </c>
      <c r="H11" s="908" t="s">
        <v>44</v>
      </c>
    </row>
    <row r="12" spans="1:8" x14ac:dyDescent="0.2">
      <c r="A12" s="185"/>
      <c r="B12" s="186"/>
      <c r="C12" s="187"/>
      <c r="D12" s="187"/>
      <c r="E12" s="187"/>
      <c r="F12" s="934"/>
      <c r="G12" s="922"/>
      <c r="H12" s="909">
        <f t="shared" ref="H12:H21" si="0">F12*G12</f>
        <v>0</v>
      </c>
    </row>
    <row r="13" spans="1:8" x14ac:dyDescent="0.2">
      <c r="A13" s="188"/>
      <c r="B13" s="189"/>
      <c r="C13" s="190"/>
      <c r="D13" s="190"/>
      <c r="E13" s="190"/>
      <c r="F13" s="935"/>
      <c r="G13" s="923"/>
      <c r="H13" s="910">
        <f t="shared" si="0"/>
        <v>0</v>
      </c>
    </row>
    <row r="14" spans="1:8" x14ac:dyDescent="0.2">
      <c r="A14" s="191"/>
      <c r="B14" s="189"/>
      <c r="C14" s="190"/>
      <c r="D14" s="190"/>
      <c r="E14" s="190"/>
      <c r="F14" s="935"/>
      <c r="G14" s="923"/>
      <c r="H14" s="910">
        <f t="shared" si="0"/>
        <v>0</v>
      </c>
    </row>
    <row r="15" spans="1:8" x14ac:dyDescent="0.2">
      <c r="A15" s="191"/>
      <c r="B15" s="189"/>
      <c r="C15" s="190"/>
      <c r="D15" s="190"/>
      <c r="E15" s="190"/>
      <c r="F15" s="935"/>
      <c r="G15" s="923"/>
      <c r="H15" s="910">
        <f t="shared" si="0"/>
        <v>0</v>
      </c>
    </row>
    <row r="16" spans="1:8" x14ac:dyDescent="0.2">
      <c r="A16" s="191"/>
      <c r="B16" s="189"/>
      <c r="C16" s="190"/>
      <c r="D16" s="190"/>
      <c r="E16" s="190"/>
      <c r="F16" s="935"/>
      <c r="G16" s="923"/>
      <c r="H16" s="910">
        <f t="shared" si="0"/>
        <v>0</v>
      </c>
    </row>
    <row r="17" spans="1:8" x14ac:dyDescent="0.2">
      <c r="A17" s="191"/>
      <c r="B17" s="189"/>
      <c r="C17" s="190"/>
      <c r="D17" s="190"/>
      <c r="E17" s="190"/>
      <c r="F17" s="935"/>
      <c r="G17" s="923"/>
      <c r="H17" s="910">
        <f t="shared" si="0"/>
        <v>0</v>
      </c>
    </row>
    <row r="18" spans="1:8" x14ac:dyDescent="0.2">
      <c r="A18" s="191"/>
      <c r="B18" s="189"/>
      <c r="C18" s="190"/>
      <c r="D18" s="190"/>
      <c r="E18" s="190"/>
      <c r="F18" s="935"/>
      <c r="G18" s="923"/>
      <c r="H18" s="910">
        <f t="shared" si="0"/>
        <v>0</v>
      </c>
    </row>
    <row r="19" spans="1:8" x14ac:dyDescent="0.2">
      <c r="A19" s="191"/>
      <c r="B19" s="189"/>
      <c r="C19" s="190"/>
      <c r="D19" s="190"/>
      <c r="E19" s="190"/>
      <c r="F19" s="935"/>
      <c r="G19" s="923"/>
      <c r="H19" s="910">
        <f t="shared" si="0"/>
        <v>0</v>
      </c>
    </row>
    <row r="20" spans="1:8" x14ac:dyDescent="0.2">
      <c r="A20" s="191"/>
      <c r="B20" s="189"/>
      <c r="C20" s="190"/>
      <c r="D20" s="190"/>
      <c r="E20" s="190"/>
      <c r="F20" s="935"/>
      <c r="G20" s="924"/>
      <c r="H20" s="910">
        <f t="shared" si="0"/>
        <v>0</v>
      </c>
    </row>
    <row r="21" spans="1:8" ht="15.75" thickBot="1" x14ac:dyDescent="0.25">
      <c r="A21" s="192"/>
      <c r="B21" s="193"/>
      <c r="C21" s="194"/>
      <c r="D21" s="194"/>
      <c r="E21" s="194"/>
      <c r="F21" s="936"/>
      <c r="G21" s="925"/>
      <c r="H21" s="911">
        <f t="shared" si="0"/>
        <v>0</v>
      </c>
    </row>
    <row r="22" spans="1:8" x14ac:dyDescent="0.2">
      <c r="A22" s="195"/>
      <c r="B22" s="196"/>
      <c r="C22" s="196"/>
      <c r="D22" s="196"/>
      <c r="E22" s="196"/>
      <c r="F22" s="937"/>
      <c r="G22" s="926" t="s">
        <v>235</v>
      </c>
      <c r="H22" s="912">
        <f>SUM(H12:H21)</f>
        <v>0</v>
      </c>
    </row>
    <row r="23" spans="1:8" ht="15.75" thickBot="1" x14ac:dyDescent="0.25">
      <c r="A23" s="180"/>
      <c r="B23" s="181"/>
      <c r="C23" s="181"/>
      <c r="D23" s="181"/>
      <c r="E23" s="181"/>
      <c r="F23" s="938"/>
      <c r="G23" s="927" t="s">
        <v>358</v>
      </c>
      <c r="H23" s="913"/>
    </row>
    <row r="24" spans="1:8" ht="16.5" thickTop="1" thickBot="1" x14ac:dyDescent="0.25">
      <c r="A24" s="338"/>
      <c r="B24" s="338"/>
      <c r="C24" s="338"/>
      <c r="D24" s="338"/>
      <c r="E24" s="338"/>
      <c r="F24" s="939"/>
      <c r="G24" s="928"/>
      <c r="H24" s="914"/>
    </row>
    <row r="25" spans="1:8" ht="15.75" thickTop="1" x14ac:dyDescent="0.2">
      <c r="A25" s="335" t="s">
        <v>127</v>
      </c>
      <c r="B25" s="339"/>
      <c r="C25" s="339"/>
      <c r="D25" s="339"/>
      <c r="E25" s="339"/>
      <c r="F25" s="940"/>
      <c r="G25" s="929"/>
      <c r="H25" s="915"/>
    </row>
    <row r="26" spans="1:8" ht="30" x14ac:dyDescent="0.2">
      <c r="A26" s="904" t="s">
        <v>4</v>
      </c>
      <c r="B26" s="905" t="s">
        <v>41</v>
      </c>
      <c r="C26" s="906" t="s">
        <v>26</v>
      </c>
      <c r="D26" s="906" t="s">
        <v>42</v>
      </c>
      <c r="E26" s="907" t="s">
        <v>43</v>
      </c>
      <c r="F26" s="941" t="s">
        <v>9</v>
      </c>
      <c r="G26" s="906" t="s">
        <v>424</v>
      </c>
      <c r="H26" s="916" t="s">
        <v>44</v>
      </c>
    </row>
    <row r="27" spans="1:8" x14ac:dyDescent="0.2">
      <c r="A27" s="341"/>
      <c r="B27" s="290"/>
      <c r="C27" s="291"/>
      <c r="D27" s="291"/>
      <c r="E27" s="291"/>
      <c r="F27" s="942"/>
      <c r="G27" s="930"/>
      <c r="H27" s="909">
        <f t="shared" ref="H27:H37" si="1">F27*G27</f>
        <v>0</v>
      </c>
    </row>
    <row r="28" spans="1:8" x14ac:dyDescent="0.2">
      <c r="A28" s="188"/>
      <c r="B28" s="189"/>
      <c r="C28" s="190"/>
      <c r="D28" s="190"/>
      <c r="E28" s="190"/>
      <c r="F28" s="935"/>
      <c r="G28" s="923"/>
      <c r="H28" s="910">
        <f t="shared" si="1"/>
        <v>0</v>
      </c>
    </row>
    <row r="29" spans="1:8" x14ac:dyDescent="0.2">
      <c r="A29" s="191"/>
      <c r="B29" s="189"/>
      <c r="C29" s="190"/>
      <c r="D29" s="190"/>
      <c r="E29" s="190"/>
      <c r="F29" s="935"/>
      <c r="G29" s="923"/>
      <c r="H29" s="910">
        <f t="shared" si="1"/>
        <v>0</v>
      </c>
    </row>
    <row r="30" spans="1:8" x14ac:dyDescent="0.2">
      <c r="A30" s="191"/>
      <c r="B30" s="189"/>
      <c r="C30" s="190"/>
      <c r="D30" s="190"/>
      <c r="E30" s="190"/>
      <c r="F30" s="935"/>
      <c r="G30" s="923"/>
      <c r="H30" s="910">
        <f t="shared" si="1"/>
        <v>0</v>
      </c>
    </row>
    <row r="31" spans="1:8" x14ac:dyDescent="0.2">
      <c r="A31" s="191"/>
      <c r="B31" s="189"/>
      <c r="C31" s="190"/>
      <c r="D31" s="190"/>
      <c r="E31" s="190"/>
      <c r="F31" s="935"/>
      <c r="G31" s="923"/>
      <c r="H31" s="910">
        <f t="shared" si="1"/>
        <v>0</v>
      </c>
    </row>
    <row r="32" spans="1:8" x14ac:dyDescent="0.2">
      <c r="A32" s="191"/>
      <c r="B32" s="189"/>
      <c r="C32" s="190"/>
      <c r="D32" s="190"/>
      <c r="E32" s="190"/>
      <c r="F32" s="935"/>
      <c r="G32" s="923"/>
      <c r="H32" s="910">
        <f t="shared" si="1"/>
        <v>0</v>
      </c>
    </row>
    <row r="33" spans="1:8" x14ac:dyDescent="0.2">
      <c r="A33" s="191"/>
      <c r="B33" s="189"/>
      <c r="C33" s="190"/>
      <c r="D33" s="190"/>
      <c r="E33" s="190"/>
      <c r="F33" s="935"/>
      <c r="G33" s="923"/>
      <c r="H33" s="910">
        <f t="shared" si="1"/>
        <v>0</v>
      </c>
    </row>
    <row r="34" spans="1:8" x14ac:dyDescent="0.2">
      <c r="A34" s="191"/>
      <c r="B34" s="189"/>
      <c r="C34" s="190"/>
      <c r="D34" s="190"/>
      <c r="E34" s="190"/>
      <c r="F34" s="935"/>
      <c r="G34" s="923"/>
      <c r="H34" s="910">
        <f t="shared" si="1"/>
        <v>0</v>
      </c>
    </row>
    <row r="35" spans="1:8" x14ac:dyDescent="0.2">
      <c r="A35" s="191"/>
      <c r="B35" s="189"/>
      <c r="C35" s="190"/>
      <c r="D35" s="190"/>
      <c r="E35" s="190"/>
      <c r="F35" s="935"/>
      <c r="G35" s="923"/>
      <c r="H35" s="910">
        <f t="shared" si="1"/>
        <v>0</v>
      </c>
    </row>
    <row r="36" spans="1:8" x14ac:dyDescent="0.2">
      <c r="A36" s="191"/>
      <c r="B36" s="189"/>
      <c r="C36" s="190"/>
      <c r="D36" s="190"/>
      <c r="E36" s="190"/>
      <c r="F36" s="935"/>
      <c r="G36" s="923"/>
      <c r="H36" s="910">
        <f t="shared" si="1"/>
        <v>0</v>
      </c>
    </row>
    <row r="37" spans="1:8" ht="15.75" thickBot="1" x14ac:dyDescent="0.25">
      <c r="A37" s="192"/>
      <c r="B37" s="193"/>
      <c r="C37" s="194"/>
      <c r="D37" s="194"/>
      <c r="E37" s="194"/>
      <c r="F37" s="936"/>
      <c r="G37" s="931"/>
      <c r="H37" s="911">
        <f t="shared" si="1"/>
        <v>0</v>
      </c>
    </row>
    <row r="38" spans="1:8" x14ac:dyDescent="0.2">
      <c r="A38" s="195"/>
      <c r="B38" s="196"/>
      <c r="C38" s="196"/>
      <c r="D38" s="196"/>
      <c r="E38" s="196"/>
      <c r="F38" s="937"/>
      <c r="G38" s="926" t="s">
        <v>236</v>
      </c>
      <c r="H38" s="912">
        <f>SUM(H27:H37)</f>
        <v>0</v>
      </c>
    </row>
    <row r="39" spans="1:8" ht="15.75" thickBot="1" x14ac:dyDescent="0.25">
      <c r="A39" s="342"/>
      <c r="B39" s="203"/>
      <c r="C39" s="203"/>
      <c r="D39" s="203"/>
      <c r="E39" s="203"/>
      <c r="F39" s="943"/>
      <c r="G39" s="927" t="s">
        <v>358</v>
      </c>
      <c r="H39" s="913"/>
    </row>
    <row r="40" spans="1:8" ht="16.5" thickTop="1" thickBot="1" x14ac:dyDescent="0.25">
      <c r="A40" s="343"/>
      <c r="B40" s="343"/>
      <c r="C40" s="343"/>
      <c r="D40" s="343"/>
      <c r="E40" s="343"/>
      <c r="F40" s="944"/>
      <c r="G40" s="932"/>
      <c r="H40" s="917"/>
    </row>
    <row r="41" spans="1:8" ht="15.75" thickTop="1" x14ac:dyDescent="0.2">
      <c r="A41" s="335" t="s">
        <v>135</v>
      </c>
      <c r="B41" s="339"/>
      <c r="C41" s="339"/>
      <c r="D41" s="339"/>
      <c r="E41" s="339"/>
      <c r="F41" s="940"/>
      <c r="G41" s="929"/>
      <c r="H41" s="915"/>
    </row>
    <row r="42" spans="1:8" ht="30" x14ac:dyDescent="0.2">
      <c r="A42" s="904" t="s">
        <v>4</v>
      </c>
      <c r="B42" s="905" t="s">
        <v>41</v>
      </c>
      <c r="C42" s="906" t="s">
        <v>26</v>
      </c>
      <c r="D42" s="906" t="s">
        <v>42</v>
      </c>
      <c r="E42" s="907" t="s">
        <v>43</v>
      </c>
      <c r="F42" s="941" t="s">
        <v>9</v>
      </c>
      <c r="G42" s="906" t="s">
        <v>424</v>
      </c>
      <c r="H42" s="916" t="s">
        <v>44</v>
      </c>
    </row>
    <row r="43" spans="1:8" x14ac:dyDescent="0.2">
      <c r="A43" s="185"/>
      <c r="B43" s="186"/>
      <c r="C43" s="187"/>
      <c r="D43" s="187"/>
      <c r="E43" s="187"/>
      <c r="F43" s="934"/>
      <c r="G43" s="922"/>
      <c r="H43" s="909">
        <f t="shared" ref="H43:H56" si="2">F43*G43</f>
        <v>0</v>
      </c>
    </row>
    <row r="44" spans="1:8" x14ac:dyDescent="0.2">
      <c r="A44" s="188"/>
      <c r="B44" s="189"/>
      <c r="C44" s="190"/>
      <c r="D44" s="190"/>
      <c r="E44" s="190"/>
      <c r="F44" s="935"/>
      <c r="G44" s="923"/>
      <c r="H44" s="910">
        <f t="shared" si="2"/>
        <v>0</v>
      </c>
    </row>
    <row r="45" spans="1:8" x14ac:dyDescent="0.2">
      <c r="A45" s="191"/>
      <c r="B45" s="189"/>
      <c r="C45" s="190"/>
      <c r="D45" s="190"/>
      <c r="E45" s="190"/>
      <c r="F45" s="935"/>
      <c r="G45" s="923"/>
      <c r="H45" s="910">
        <f t="shared" si="2"/>
        <v>0</v>
      </c>
    </row>
    <row r="46" spans="1:8" x14ac:dyDescent="0.2">
      <c r="A46" s="191"/>
      <c r="B46" s="189"/>
      <c r="C46" s="190"/>
      <c r="D46" s="190"/>
      <c r="E46" s="190"/>
      <c r="F46" s="935"/>
      <c r="G46" s="923"/>
      <c r="H46" s="910">
        <f t="shared" si="2"/>
        <v>0</v>
      </c>
    </row>
    <row r="47" spans="1:8" x14ac:dyDescent="0.2">
      <c r="A47" s="191"/>
      <c r="B47" s="189"/>
      <c r="C47" s="190"/>
      <c r="D47" s="190"/>
      <c r="E47" s="190"/>
      <c r="F47" s="935"/>
      <c r="G47" s="923"/>
      <c r="H47" s="910">
        <f t="shared" si="2"/>
        <v>0</v>
      </c>
    </row>
    <row r="48" spans="1:8" x14ac:dyDescent="0.2">
      <c r="A48" s="191"/>
      <c r="B48" s="189"/>
      <c r="C48" s="190"/>
      <c r="D48" s="190"/>
      <c r="E48" s="190"/>
      <c r="F48" s="935"/>
      <c r="G48" s="923"/>
      <c r="H48" s="910">
        <f t="shared" si="2"/>
        <v>0</v>
      </c>
    </row>
    <row r="49" spans="1:8" x14ac:dyDescent="0.2">
      <c r="A49" s="191"/>
      <c r="B49" s="189"/>
      <c r="C49" s="190"/>
      <c r="D49" s="190"/>
      <c r="E49" s="190"/>
      <c r="F49" s="935"/>
      <c r="G49" s="923"/>
      <c r="H49" s="910">
        <f t="shared" si="2"/>
        <v>0</v>
      </c>
    </row>
    <row r="50" spans="1:8" x14ac:dyDescent="0.2">
      <c r="A50" s="191"/>
      <c r="B50" s="189"/>
      <c r="C50" s="190"/>
      <c r="D50" s="190"/>
      <c r="E50" s="190"/>
      <c r="F50" s="935"/>
      <c r="G50" s="923"/>
      <c r="H50" s="910">
        <f t="shared" si="2"/>
        <v>0</v>
      </c>
    </row>
    <row r="51" spans="1:8" x14ac:dyDescent="0.2">
      <c r="A51" s="191"/>
      <c r="B51" s="189"/>
      <c r="C51" s="190"/>
      <c r="D51" s="190"/>
      <c r="E51" s="190"/>
      <c r="F51" s="935"/>
      <c r="G51" s="923"/>
      <c r="H51" s="910">
        <f t="shared" si="2"/>
        <v>0</v>
      </c>
    </row>
    <row r="52" spans="1:8" x14ac:dyDescent="0.2">
      <c r="A52" s="191"/>
      <c r="B52" s="189"/>
      <c r="C52" s="190"/>
      <c r="D52" s="190"/>
      <c r="E52" s="190"/>
      <c r="F52" s="935"/>
      <c r="G52" s="923"/>
      <c r="H52" s="910">
        <f t="shared" si="2"/>
        <v>0</v>
      </c>
    </row>
    <row r="53" spans="1:8" x14ac:dyDescent="0.2">
      <c r="A53" s="191"/>
      <c r="B53" s="189"/>
      <c r="C53" s="190"/>
      <c r="D53" s="190"/>
      <c r="E53" s="190"/>
      <c r="F53" s="935"/>
      <c r="G53" s="923"/>
      <c r="H53" s="910">
        <f t="shared" si="2"/>
        <v>0</v>
      </c>
    </row>
    <row r="54" spans="1:8" x14ac:dyDescent="0.2">
      <c r="A54" s="191"/>
      <c r="B54" s="189"/>
      <c r="C54" s="190"/>
      <c r="D54" s="190"/>
      <c r="E54" s="190"/>
      <c r="F54" s="935"/>
      <c r="G54" s="923"/>
      <c r="H54" s="910">
        <f t="shared" si="2"/>
        <v>0</v>
      </c>
    </row>
    <row r="55" spans="1:8" x14ac:dyDescent="0.2">
      <c r="A55" s="191"/>
      <c r="B55" s="189"/>
      <c r="C55" s="190"/>
      <c r="D55" s="190"/>
      <c r="E55" s="190"/>
      <c r="F55" s="935"/>
      <c r="G55" s="923"/>
      <c r="H55" s="910">
        <f t="shared" si="2"/>
        <v>0</v>
      </c>
    </row>
    <row r="56" spans="1:8" ht="15.75" thickBot="1" x14ac:dyDescent="0.25">
      <c r="A56" s="192"/>
      <c r="B56" s="193"/>
      <c r="C56" s="194"/>
      <c r="D56" s="194"/>
      <c r="E56" s="194"/>
      <c r="F56" s="936"/>
      <c r="G56" s="931"/>
      <c r="H56" s="911">
        <f t="shared" si="2"/>
        <v>0</v>
      </c>
    </row>
    <row r="57" spans="1:8" x14ac:dyDescent="0.2">
      <c r="A57" s="195"/>
      <c r="B57" s="196"/>
      <c r="C57" s="196"/>
      <c r="D57" s="196"/>
      <c r="E57" s="196"/>
      <c r="F57" s="937"/>
      <c r="G57" s="926" t="s">
        <v>237</v>
      </c>
      <c r="H57" s="912">
        <f>SUM(H43:H56)</f>
        <v>0</v>
      </c>
    </row>
    <row r="58" spans="1:8" x14ac:dyDescent="0.2">
      <c r="A58" s="198"/>
      <c r="B58" s="199"/>
      <c r="C58" s="199"/>
      <c r="D58" s="199"/>
      <c r="E58" s="199"/>
      <c r="F58" s="945"/>
      <c r="G58" s="927" t="s">
        <v>358</v>
      </c>
      <c r="H58" s="918"/>
    </row>
    <row r="59" spans="1:8" x14ac:dyDescent="0.2">
      <c r="A59" s="183" t="s">
        <v>136</v>
      </c>
      <c r="B59" s="184"/>
      <c r="C59" s="184"/>
      <c r="D59" s="184"/>
      <c r="E59" s="184"/>
      <c r="F59" s="946"/>
      <c r="G59" s="933"/>
      <c r="H59" s="919"/>
    </row>
    <row r="60" spans="1:8" ht="30" x14ac:dyDescent="0.2">
      <c r="A60" s="904" t="s">
        <v>4</v>
      </c>
      <c r="B60" s="905" t="s">
        <v>41</v>
      </c>
      <c r="C60" s="906" t="s">
        <v>26</v>
      </c>
      <c r="D60" s="906" t="s">
        <v>42</v>
      </c>
      <c r="E60" s="907" t="s">
        <v>43</v>
      </c>
      <c r="F60" s="941" t="s">
        <v>9</v>
      </c>
      <c r="G60" s="906" t="s">
        <v>424</v>
      </c>
      <c r="H60" s="916" t="s">
        <v>44</v>
      </c>
    </row>
    <row r="61" spans="1:8" x14ac:dyDescent="0.2">
      <c r="A61" s="185"/>
      <c r="B61" s="186"/>
      <c r="C61" s="187"/>
      <c r="D61" s="187"/>
      <c r="E61" s="187"/>
      <c r="F61" s="934"/>
      <c r="G61" s="922"/>
      <c r="H61" s="909">
        <f t="shared" ref="H61:H74" si="3">F61*G61</f>
        <v>0</v>
      </c>
    </row>
    <row r="62" spans="1:8" x14ac:dyDescent="0.2">
      <c r="A62" s="188"/>
      <c r="B62" s="189"/>
      <c r="C62" s="190"/>
      <c r="D62" s="190"/>
      <c r="E62" s="190"/>
      <c r="F62" s="935"/>
      <c r="G62" s="923"/>
      <c r="H62" s="910">
        <f t="shared" si="3"/>
        <v>0</v>
      </c>
    </row>
    <row r="63" spans="1:8" x14ac:dyDescent="0.2">
      <c r="A63" s="191"/>
      <c r="B63" s="189"/>
      <c r="C63" s="190"/>
      <c r="D63" s="190"/>
      <c r="E63" s="190"/>
      <c r="F63" s="935"/>
      <c r="G63" s="923"/>
      <c r="H63" s="910">
        <f t="shared" si="3"/>
        <v>0</v>
      </c>
    </row>
    <row r="64" spans="1:8" x14ac:dyDescent="0.2">
      <c r="A64" s="191"/>
      <c r="B64" s="189"/>
      <c r="C64" s="190"/>
      <c r="D64" s="190"/>
      <c r="E64" s="190"/>
      <c r="F64" s="935"/>
      <c r="G64" s="923"/>
      <c r="H64" s="910">
        <f t="shared" si="3"/>
        <v>0</v>
      </c>
    </row>
    <row r="65" spans="1:8" x14ac:dyDescent="0.2">
      <c r="A65" s="191"/>
      <c r="B65" s="189"/>
      <c r="C65" s="190"/>
      <c r="D65" s="190"/>
      <c r="E65" s="190"/>
      <c r="F65" s="935"/>
      <c r="G65" s="923"/>
      <c r="H65" s="910">
        <f t="shared" si="3"/>
        <v>0</v>
      </c>
    </row>
    <row r="66" spans="1:8" x14ac:dyDescent="0.2">
      <c r="A66" s="191"/>
      <c r="B66" s="189"/>
      <c r="C66" s="190"/>
      <c r="D66" s="190"/>
      <c r="E66" s="190"/>
      <c r="F66" s="935"/>
      <c r="G66" s="923"/>
      <c r="H66" s="910">
        <f t="shared" si="3"/>
        <v>0</v>
      </c>
    </row>
    <row r="67" spans="1:8" x14ac:dyDescent="0.2">
      <c r="A67" s="191"/>
      <c r="B67" s="189"/>
      <c r="C67" s="190"/>
      <c r="D67" s="190"/>
      <c r="E67" s="190"/>
      <c r="F67" s="935"/>
      <c r="G67" s="923"/>
      <c r="H67" s="910">
        <f t="shared" si="3"/>
        <v>0</v>
      </c>
    </row>
    <row r="68" spans="1:8" x14ac:dyDescent="0.2">
      <c r="A68" s="191"/>
      <c r="B68" s="189"/>
      <c r="C68" s="190"/>
      <c r="D68" s="190"/>
      <c r="E68" s="190"/>
      <c r="F68" s="935"/>
      <c r="G68" s="923"/>
      <c r="H68" s="910">
        <f t="shared" si="3"/>
        <v>0</v>
      </c>
    </row>
    <row r="69" spans="1:8" x14ac:dyDescent="0.2">
      <c r="A69" s="191"/>
      <c r="B69" s="189"/>
      <c r="C69" s="190"/>
      <c r="D69" s="190"/>
      <c r="E69" s="190"/>
      <c r="F69" s="935"/>
      <c r="G69" s="923"/>
      <c r="H69" s="910">
        <f t="shared" si="3"/>
        <v>0</v>
      </c>
    </row>
    <row r="70" spans="1:8" x14ac:dyDescent="0.2">
      <c r="A70" s="191"/>
      <c r="B70" s="189"/>
      <c r="C70" s="190"/>
      <c r="D70" s="190"/>
      <c r="E70" s="190"/>
      <c r="F70" s="935"/>
      <c r="G70" s="923"/>
      <c r="H70" s="910">
        <f t="shared" si="3"/>
        <v>0</v>
      </c>
    </row>
    <row r="71" spans="1:8" x14ac:dyDescent="0.2">
      <c r="A71" s="191"/>
      <c r="B71" s="189"/>
      <c r="C71" s="190"/>
      <c r="D71" s="190"/>
      <c r="E71" s="190"/>
      <c r="F71" s="935"/>
      <c r="G71" s="923"/>
      <c r="H71" s="910">
        <f t="shared" si="3"/>
        <v>0</v>
      </c>
    </row>
    <row r="72" spans="1:8" x14ac:dyDescent="0.2">
      <c r="A72" s="191"/>
      <c r="B72" s="189"/>
      <c r="C72" s="190"/>
      <c r="D72" s="190"/>
      <c r="E72" s="190"/>
      <c r="F72" s="935"/>
      <c r="G72" s="923"/>
      <c r="H72" s="910">
        <f t="shared" si="3"/>
        <v>0</v>
      </c>
    </row>
    <row r="73" spans="1:8" x14ac:dyDescent="0.2">
      <c r="A73" s="191"/>
      <c r="B73" s="189"/>
      <c r="C73" s="190"/>
      <c r="D73" s="190"/>
      <c r="E73" s="190"/>
      <c r="F73" s="935"/>
      <c r="G73" s="923"/>
      <c r="H73" s="910">
        <f t="shared" si="3"/>
        <v>0</v>
      </c>
    </row>
    <row r="74" spans="1:8" ht="15.75" thickBot="1" x14ac:dyDescent="0.25">
      <c r="A74" s="192"/>
      <c r="B74" s="193"/>
      <c r="C74" s="194"/>
      <c r="D74" s="194"/>
      <c r="E74" s="194"/>
      <c r="F74" s="936"/>
      <c r="G74" s="931"/>
      <c r="H74" s="911">
        <f t="shared" si="3"/>
        <v>0</v>
      </c>
    </row>
    <row r="75" spans="1:8" x14ac:dyDescent="0.2">
      <c r="A75" s="195"/>
      <c r="B75" s="196"/>
      <c r="C75" s="196"/>
      <c r="D75" s="196"/>
      <c r="E75" s="196"/>
      <c r="F75" s="196"/>
      <c r="G75" s="197" t="s">
        <v>238</v>
      </c>
      <c r="H75" s="912">
        <f>SUM(H61:H74)</f>
        <v>0</v>
      </c>
    </row>
    <row r="76" spans="1:8" ht="15.75" thickBot="1" x14ac:dyDescent="0.25">
      <c r="A76" s="176"/>
      <c r="B76" s="178"/>
      <c r="C76" s="178"/>
      <c r="D76" s="178"/>
      <c r="E76" s="178"/>
      <c r="F76" s="178"/>
      <c r="G76" s="239" t="s">
        <v>358</v>
      </c>
      <c r="H76" s="918"/>
    </row>
    <row r="77" spans="1:8" x14ac:dyDescent="0.2">
      <c r="A77" s="507"/>
      <c r="B77" s="508"/>
      <c r="C77" s="508"/>
      <c r="D77" s="508"/>
      <c r="E77" s="508"/>
      <c r="F77" s="509"/>
      <c r="G77" s="510" t="s">
        <v>220</v>
      </c>
      <c r="H77" s="920">
        <f>H75+H57</f>
        <v>0</v>
      </c>
    </row>
    <row r="78" spans="1:8" ht="15.75" thickBot="1" x14ac:dyDescent="0.25">
      <c r="A78" s="511"/>
      <c r="B78" s="512"/>
      <c r="C78" s="512"/>
      <c r="D78" s="512"/>
      <c r="E78" s="512"/>
      <c r="F78" s="512"/>
      <c r="G78" s="513" t="s">
        <v>358</v>
      </c>
      <c r="H78" s="921">
        <f>H23+H39+H58+H76</f>
        <v>0</v>
      </c>
    </row>
    <row r="79" spans="1:8" ht="15.75" thickTop="1" x14ac:dyDescent="0.2">
      <c r="H79" s="517"/>
    </row>
    <row r="80" spans="1:8" x14ac:dyDescent="0.2">
      <c r="H80" s="225"/>
    </row>
    <row r="81" spans="8:8" x14ac:dyDescent="0.2">
      <c r="H81" s="225"/>
    </row>
    <row r="82" spans="8:8" x14ac:dyDescent="0.2">
      <c r="H82" s="225"/>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0" type="noConversion"/>
  <printOptions horizontalCentered="1"/>
  <pageMargins left="0.74803149606299213" right="0.74803149606299213" top="0.78740157480314965" bottom="0.78740157480314965" header="0.51181102362204722" footer="0.51181102362204722"/>
  <pageSetup paperSize="9" scale="60" orientation="portrait" horizontalDpi="4294967293" verticalDpi="2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I90"/>
  <sheetViews>
    <sheetView view="pageBreakPreview" zoomScale="75" zoomScaleNormal="75" workbookViewId="0">
      <selection activeCell="E12" sqref="E12"/>
    </sheetView>
  </sheetViews>
  <sheetFormatPr defaultRowHeight="15" x14ac:dyDescent="0.2"/>
  <cols>
    <col min="1" max="1" width="10" bestFit="1" customWidth="1"/>
    <col min="2" max="2" width="13.109375" customWidth="1"/>
    <col min="3" max="3" width="12.33203125" customWidth="1"/>
    <col min="4" max="4" width="17.5546875" customWidth="1"/>
    <col min="5" max="5" width="19" customWidth="1"/>
    <col min="6" max="7" width="8.33203125" customWidth="1"/>
    <col min="8" max="8" width="8.5546875" customWidth="1"/>
    <col min="9" max="9" width="12.21875" customWidth="1"/>
    <col min="10" max="10" width="17.21875" bestFit="1" customWidth="1"/>
  </cols>
  <sheetData>
    <row r="1" spans="1:9" ht="16.5" thickTop="1" x14ac:dyDescent="0.2">
      <c r="A1" s="167" t="s">
        <v>45</v>
      </c>
      <c r="B1" s="226"/>
      <c r="C1" s="226"/>
      <c r="D1" s="226"/>
      <c r="E1" s="226"/>
      <c r="F1" s="226"/>
      <c r="G1" s="226"/>
      <c r="H1" s="226"/>
      <c r="I1" s="227"/>
    </row>
    <row r="2" spans="1:9" ht="15.75" x14ac:dyDescent="0.2">
      <c r="A2" s="262" t="s">
        <v>221</v>
      </c>
      <c r="B2" s="124"/>
      <c r="C2" s="124"/>
      <c r="D2" s="124"/>
      <c r="E2" s="2"/>
      <c r="F2" s="283" t="s">
        <v>227</v>
      </c>
      <c r="G2" s="124"/>
      <c r="H2" s="124"/>
      <c r="I2" s="130"/>
    </row>
    <row r="3" spans="1:9" ht="15.75" thickBot="1" x14ac:dyDescent="0.25">
      <c r="A3" s="1505" t="s">
        <v>356</v>
      </c>
      <c r="B3" s="1506"/>
      <c r="C3" s="271">
        <f>'Input Data'!D28</f>
        <v>0</v>
      </c>
      <c r="D3" s="263"/>
      <c r="E3" s="208" t="s">
        <v>297</v>
      </c>
      <c r="F3" s="223">
        <f>'Input Data'!D5</f>
        <v>0</v>
      </c>
      <c r="G3" s="322"/>
      <c r="H3" s="139"/>
      <c r="I3" s="201"/>
    </row>
    <row r="4" spans="1:9" ht="16.5" thickTop="1" thickBot="1" x14ac:dyDescent="0.25">
      <c r="A4" s="325"/>
      <c r="B4" s="325"/>
      <c r="C4" s="326"/>
      <c r="D4" s="326"/>
      <c r="E4" s="326"/>
      <c r="F4" s="326"/>
      <c r="G4" s="327"/>
      <c r="H4" s="327"/>
      <c r="I4" s="327"/>
    </row>
    <row r="5" spans="1:9" ht="15.75" thickTop="1" x14ac:dyDescent="0.2">
      <c r="A5" s="167" t="s">
        <v>138</v>
      </c>
      <c r="B5" s="126"/>
      <c r="C5" s="126"/>
      <c r="D5" s="126"/>
      <c r="E5" s="126"/>
      <c r="F5" s="126"/>
      <c r="G5" s="126"/>
      <c r="H5" s="126"/>
      <c r="I5" s="127"/>
    </row>
    <row r="6" spans="1:9" ht="30" x14ac:dyDescent="0.2">
      <c r="A6" s="969" t="s">
        <v>46</v>
      </c>
      <c r="B6" s="970" t="s">
        <v>41</v>
      </c>
      <c r="C6" s="970" t="s">
        <v>26</v>
      </c>
      <c r="D6" s="970" t="s">
        <v>47</v>
      </c>
      <c r="E6" s="970" t="s">
        <v>48</v>
      </c>
      <c r="F6" s="970" t="s">
        <v>49</v>
      </c>
      <c r="G6" s="970" t="s">
        <v>230</v>
      </c>
      <c r="H6" s="970" t="s">
        <v>424</v>
      </c>
      <c r="I6" s="971" t="s">
        <v>44</v>
      </c>
    </row>
    <row r="7" spans="1:9" x14ac:dyDescent="0.2">
      <c r="A7" s="324"/>
      <c r="B7" s="286"/>
      <c r="C7" s="286"/>
      <c r="D7" s="286"/>
      <c r="E7" s="286"/>
      <c r="F7" s="364"/>
      <c r="G7" s="361">
        <f>F7-2</f>
        <v>-2</v>
      </c>
      <c r="H7" s="959"/>
      <c r="I7" s="909">
        <f t="shared" ref="I7:I16" si="0">G7*H7</f>
        <v>0</v>
      </c>
    </row>
    <row r="8" spans="1:9" x14ac:dyDescent="0.2">
      <c r="A8" s="258"/>
      <c r="B8" s="253"/>
      <c r="C8" s="253"/>
      <c r="D8" s="253"/>
      <c r="E8" s="253"/>
      <c r="F8" s="365"/>
      <c r="G8" s="362">
        <f t="shared" ref="G8:G16" si="1">F8-2</f>
        <v>-2</v>
      </c>
      <c r="H8" s="960"/>
      <c r="I8" s="910">
        <f t="shared" si="0"/>
        <v>0</v>
      </c>
    </row>
    <row r="9" spans="1:9" x14ac:dyDescent="0.2">
      <c r="A9" s="258"/>
      <c r="B9" s="253"/>
      <c r="C9" s="253"/>
      <c r="D9" s="253"/>
      <c r="E9" s="253"/>
      <c r="F9" s="365"/>
      <c r="G9" s="362">
        <f t="shared" si="1"/>
        <v>-2</v>
      </c>
      <c r="H9" s="960"/>
      <c r="I9" s="910">
        <f t="shared" si="0"/>
        <v>0</v>
      </c>
    </row>
    <row r="10" spans="1:9" x14ac:dyDescent="0.2">
      <c r="A10" s="258"/>
      <c r="B10" s="253"/>
      <c r="C10" s="253"/>
      <c r="D10" s="253"/>
      <c r="E10" s="253"/>
      <c r="F10" s="365"/>
      <c r="G10" s="362">
        <f t="shared" si="1"/>
        <v>-2</v>
      </c>
      <c r="H10" s="960"/>
      <c r="I10" s="910">
        <f t="shared" si="0"/>
        <v>0</v>
      </c>
    </row>
    <row r="11" spans="1:9" x14ac:dyDescent="0.2">
      <c r="A11" s="258"/>
      <c r="B11" s="253"/>
      <c r="C11" s="253"/>
      <c r="D11" s="253"/>
      <c r="E11" s="253"/>
      <c r="F11" s="365"/>
      <c r="G11" s="362">
        <f t="shared" si="1"/>
        <v>-2</v>
      </c>
      <c r="H11" s="960"/>
      <c r="I11" s="910">
        <f t="shared" si="0"/>
        <v>0</v>
      </c>
    </row>
    <row r="12" spans="1:9" x14ac:dyDescent="0.2">
      <c r="A12" s="258"/>
      <c r="B12" s="253"/>
      <c r="C12" s="253"/>
      <c r="D12" s="253"/>
      <c r="E12" s="253"/>
      <c r="F12" s="365"/>
      <c r="G12" s="362">
        <f t="shared" si="1"/>
        <v>-2</v>
      </c>
      <c r="H12" s="960"/>
      <c r="I12" s="910">
        <f t="shared" si="0"/>
        <v>0</v>
      </c>
    </row>
    <row r="13" spans="1:9" x14ac:dyDescent="0.2">
      <c r="A13" s="258"/>
      <c r="B13" s="253"/>
      <c r="C13" s="253"/>
      <c r="D13" s="253"/>
      <c r="E13" s="253"/>
      <c r="F13" s="365"/>
      <c r="G13" s="362">
        <f t="shared" si="1"/>
        <v>-2</v>
      </c>
      <c r="H13" s="960"/>
      <c r="I13" s="910">
        <f t="shared" si="0"/>
        <v>0</v>
      </c>
    </row>
    <row r="14" spans="1:9" x14ac:dyDescent="0.2">
      <c r="A14" s="258"/>
      <c r="B14" s="253"/>
      <c r="C14" s="253"/>
      <c r="D14" s="253"/>
      <c r="E14" s="253"/>
      <c r="F14" s="365"/>
      <c r="G14" s="362">
        <f t="shared" si="1"/>
        <v>-2</v>
      </c>
      <c r="H14" s="960"/>
      <c r="I14" s="910">
        <f t="shared" si="0"/>
        <v>0</v>
      </c>
    </row>
    <row r="15" spans="1:9" x14ac:dyDescent="0.2">
      <c r="A15" s="258"/>
      <c r="B15" s="253"/>
      <c r="C15" s="253"/>
      <c r="D15" s="253"/>
      <c r="E15" s="253"/>
      <c r="F15" s="365"/>
      <c r="G15" s="362">
        <f t="shared" si="1"/>
        <v>-2</v>
      </c>
      <c r="H15" s="960"/>
      <c r="I15" s="910">
        <f t="shared" si="0"/>
        <v>0</v>
      </c>
    </row>
    <row r="16" spans="1:9" ht="15.75" thickBot="1" x14ac:dyDescent="0.25">
      <c r="A16" s="328"/>
      <c r="B16" s="329"/>
      <c r="C16" s="329"/>
      <c r="D16" s="329"/>
      <c r="E16" s="329"/>
      <c r="F16" s="366"/>
      <c r="G16" s="363">
        <f t="shared" si="1"/>
        <v>-2</v>
      </c>
      <c r="H16" s="961"/>
      <c r="I16" s="947">
        <f t="shared" si="0"/>
        <v>0</v>
      </c>
    </row>
    <row r="17" spans="1:9" x14ac:dyDescent="0.2">
      <c r="A17" s="330"/>
      <c r="B17" s="331"/>
      <c r="C17" s="331"/>
      <c r="D17" s="331"/>
      <c r="E17" s="331"/>
      <c r="F17" s="331"/>
      <c r="G17" s="331"/>
      <c r="H17" s="962" t="s">
        <v>222</v>
      </c>
      <c r="I17" s="948">
        <f>SUM(I7:I16)</f>
        <v>0</v>
      </c>
    </row>
    <row r="18" spans="1:9" ht="15.75" thickBot="1" x14ac:dyDescent="0.25">
      <c r="A18" s="200"/>
      <c r="B18" s="139"/>
      <c r="C18" s="139"/>
      <c r="D18" s="139"/>
      <c r="E18" s="139"/>
      <c r="F18" s="139"/>
      <c r="G18" s="139"/>
      <c r="H18" s="963" t="s">
        <v>358</v>
      </c>
      <c r="I18" s="949"/>
    </row>
    <row r="19" spans="1:9" ht="15.75" thickTop="1" x14ac:dyDescent="0.2">
      <c r="A19" s="284" t="s">
        <v>50</v>
      </c>
      <c r="B19" s="282"/>
      <c r="C19" s="282"/>
      <c r="D19" s="282"/>
      <c r="E19" s="282"/>
      <c r="F19" s="282"/>
      <c r="G19" s="282"/>
      <c r="H19" s="964"/>
      <c r="I19" s="950"/>
    </row>
    <row r="20" spans="1:9" x14ac:dyDescent="0.2">
      <c r="A20" s="234" t="s">
        <v>51</v>
      </c>
      <c r="B20" s="235" t="s">
        <v>52</v>
      </c>
      <c r="C20" s="235"/>
      <c r="D20" s="235"/>
      <c r="E20" s="124"/>
      <c r="F20" s="124"/>
      <c r="G20" s="235" t="s">
        <v>53</v>
      </c>
      <c r="H20" s="965"/>
      <c r="I20" s="951"/>
    </row>
    <row r="21" spans="1:9" x14ac:dyDescent="0.2">
      <c r="A21" s="234" t="s">
        <v>37</v>
      </c>
      <c r="B21" s="235" t="s">
        <v>52</v>
      </c>
      <c r="C21" s="236"/>
      <c r="D21" s="236"/>
      <c r="E21" s="237"/>
      <c r="F21" s="124"/>
      <c r="G21" s="235" t="s">
        <v>53</v>
      </c>
      <c r="H21" s="966"/>
      <c r="I21" s="952"/>
    </row>
    <row r="22" spans="1:9" x14ac:dyDescent="0.2">
      <c r="A22" s="234" t="s">
        <v>39</v>
      </c>
      <c r="B22" s="235" t="s">
        <v>52</v>
      </c>
      <c r="C22" s="235"/>
      <c r="D22" s="235"/>
      <c r="E22" s="124"/>
      <c r="F22" s="124"/>
      <c r="G22" s="235" t="s">
        <v>53</v>
      </c>
      <c r="H22" s="965"/>
      <c r="I22" s="951"/>
    </row>
    <row r="23" spans="1:9" ht="30" x14ac:dyDescent="0.2">
      <c r="A23" s="969" t="s">
        <v>4</v>
      </c>
      <c r="B23" s="970" t="s">
        <v>41</v>
      </c>
      <c r="C23" s="970" t="s">
        <v>26</v>
      </c>
      <c r="D23" s="970" t="s">
        <v>54</v>
      </c>
      <c r="E23" s="970" t="s">
        <v>55</v>
      </c>
      <c r="F23" s="970" t="s">
        <v>224</v>
      </c>
      <c r="G23" s="970" t="s">
        <v>56</v>
      </c>
      <c r="H23" s="970" t="s">
        <v>424</v>
      </c>
      <c r="I23" s="972" t="s">
        <v>44</v>
      </c>
    </row>
    <row r="24" spans="1:9" x14ac:dyDescent="0.2">
      <c r="A24" s="287"/>
      <c r="B24" s="286"/>
      <c r="C24" s="286"/>
      <c r="D24" s="286"/>
      <c r="E24" s="286"/>
      <c r="F24" s="286"/>
      <c r="G24" s="364"/>
      <c r="H24" s="959"/>
      <c r="I24" s="909">
        <f>G24*H24+F24</f>
        <v>0</v>
      </c>
    </row>
    <row r="25" spans="1:9" x14ac:dyDescent="0.2">
      <c r="A25" s="258"/>
      <c r="B25" s="253"/>
      <c r="C25" s="253"/>
      <c r="D25" s="253"/>
      <c r="E25" s="253"/>
      <c r="F25" s="253"/>
      <c r="G25" s="365"/>
      <c r="H25" s="960"/>
      <c r="I25" s="910">
        <f t="shared" ref="I25:I33" si="2">G25*H25+F25</f>
        <v>0</v>
      </c>
    </row>
    <row r="26" spans="1:9" x14ac:dyDescent="0.2">
      <c r="A26" s="258"/>
      <c r="B26" s="253"/>
      <c r="C26" s="253"/>
      <c r="D26" s="253"/>
      <c r="E26" s="253"/>
      <c r="F26" s="253"/>
      <c r="G26" s="365"/>
      <c r="H26" s="960"/>
      <c r="I26" s="910">
        <f t="shared" si="2"/>
        <v>0</v>
      </c>
    </row>
    <row r="27" spans="1:9" x14ac:dyDescent="0.2">
      <c r="A27" s="258"/>
      <c r="B27" s="253"/>
      <c r="C27" s="253"/>
      <c r="D27" s="253"/>
      <c r="E27" s="253"/>
      <c r="F27" s="253"/>
      <c r="G27" s="365"/>
      <c r="H27" s="960"/>
      <c r="I27" s="910">
        <f t="shared" si="2"/>
        <v>0</v>
      </c>
    </row>
    <row r="28" spans="1:9" x14ac:dyDescent="0.2">
      <c r="A28" s="258"/>
      <c r="B28" s="253"/>
      <c r="C28" s="253"/>
      <c r="D28" s="253"/>
      <c r="E28" s="253"/>
      <c r="F28" s="253"/>
      <c r="G28" s="365"/>
      <c r="H28" s="960"/>
      <c r="I28" s="910">
        <f t="shared" si="2"/>
        <v>0</v>
      </c>
    </row>
    <row r="29" spans="1:9" x14ac:dyDescent="0.2">
      <c r="A29" s="258"/>
      <c r="B29" s="253"/>
      <c r="C29" s="253"/>
      <c r="D29" s="253"/>
      <c r="E29" s="253"/>
      <c r="F29" s="253"/>
      <c r="G29" s="365"/>
      <c r="H29" s="960"/>
      <c r="I29" s="910">
        <f t="shared" si="2"/>
        <v>0</v>
      </c>
    </row>
    <row r="30" spans="1:9" ht="15.75" customHeight="1" x14ac:dyDescent="0.2">
      <c r="A30" s="258"/>
      <c r="B30" s="253"/>
      <c r="C30" s="253"/>
      <c r="D30" s="253"/>
      <c r="E30" s="253"/>
      <c r="F30" s="253"/>
      <c r="G30" s="365"/>
      <c r="H30" s="960"/>
      <c r="I30" s="910">
        <f t="shared" si="2"/>
        <v>0</v>
      </c>
    </row>
    <row r="31" spans="1:9" x14ac:dyDescent="0.2">
      <c r="A31" s="258"/>
      <c r="B31" s="253"/>
      <c r="C31" s="253"/>
      <c r="D31" s="253"/>
      <c r="E31" s="253"/>
      <c r="F31" s="253"/>
      <c r="G31" s="365"/>
      <c r="H31" s="960"/>
      <c r="I31" s="910">
        <f t="shared" si="2"/>
        <v>0</v>
      </c>
    </row>
    <row r="32" spans="1:9" x14ac:dyDescent="0.2">
      <c r="A32" s="258"/>
      <c r="B32" s="253"/>
      <c r="C32" s="253"/>
      <c r="D32" s="253"/>
      <c r="E32" s="253"/>
      <c r="F32" s="253"/>
      <c r="G32" s="365"/>
      <c r="H32" s="960"/>
      <c r="I32" s="910">
        <f t="shared" si="2"/>
        <v>0</v>
      </c>
    </row>
    <row r="33" spans="1:9" ht="15.75" thickBot="1" x14ac:dyDescent="0.25">
      <c r="A33" s="328"/>
      <c r="B33" s="329"/>
      <c r="C33" s="329"/>
      <c r="D33" s="329"/>
      <c r="E33" s="329"/>
      <c r="F33" s="329"/>
      <c r="G33" s="366"/>
      <c r="H33" s="961"/>
      <c r="I33" s="911">
        <f t="shared" si="2"/>
        <v>0</v>
      </c>
    </row>
    <row r="34" spans="1:9" x14ac:dyDescent="0.2">
      <c r="A34" s="330"/>
      <c r="B34" s="331"/>
      <c r="C34" s="331"/>
      <c r="D34" s="331"/>
      <c r="E34" s="331"/>
      <c r="F34" s="331"/>
      <c r="G34" s="331"/>
      <c r="H34" s="267" t="s">
        <v>57</v>
      </c>
      <c r="I34" s="912">
        <f>SUM(I24:I33)</f>
        <v>0</v>
      </c>
    </row>
    <row r="35" spans="1:9" ht="15.75" thickBot="1" x14ac:dyDescent="0.25">
      <c r="A35" s="234"/>
      <c r="B35" s="239"/>
      <c r="C35" s="239"/>
      <c r="D35" s="239"/>
      <c r="E35" s="239"/>
      <c r="F35" s="239"/>
      <c r="G35" s="239"/>
      <c r="H35" s="241" t="s">
        <v>358</v>
      </c>
      <c r="I35" s="949"/>
    </row>
    <row r="36" spans="1:9" ht="15.75" thickTop="1" x14ac:dyDescent="0.2">
      <c r="A36" s="240" t="s">
        <v>58</v>
      </c>
      <c r="B36" s="229"/>
      <c r="C36" s="229"/>
      <c r="D36" s="229"/>
      <c r="E36" s="229"/>
      <c r="F36" s="229"/>
      <c r="G36" s="229"/>
      <c r="H36" s="229"/>
      <c r="I36" s="953"/>
    </row>
    <row r="37" spans="1:9" ht="30" x14ac:dyDescent="0.2">
      <c r="A37" s="969" t="s">
        <v>4</v>
      </c>
      <c r="B37" s="905" t="s">
        <v>41</v>
      </c>
      <c r="C37" s="973" t="s">
        <v>26</v>
      </c>
      <c r="D37" s="970" t="s">
        <v>59</v>
      </c>
      <c r="E37" s="970" t="s">
        <v>60</v>
      </c>
      <c r="F37" s="970"/>
      <c r="G37" s="976" t="s">
        <v>5</v>
      </c>
      <c r="H37" s="976" t="s">
        <v>10</v>
      </c>
      <c r="I37" s="972" t="s">
        <v>44</v>
      </c>
    </row>
    <row r="38" spans="1:9" x14ac:dyDescent="0.2">
      <c r="A38" s="257"/>
      <c r="B38" s="254"/>
      <c r="C38" s="254"/>
      <c r="D38" s="254"/>
      <c r="E38" s="254"/>
      <c r="F38" s="254"/>
      <c r="G38" s="977"/>
      <c r="H38" s="977"/>
      <c r="I38" s="954"/>
    </row>
    <row r="39" spans="1:9" x14ac:dyDescent="0.2">
      <c r="A39" s="258"/>
      <c r="B39" s="253"/>
      <c r="C39" s="253"/>
      <c r="D39" s="253"/>
      <c r="E39" s="253"/>
      <c r="F39" s="253"/>
      <c r="G39" s="978"/>
      <c r="H39" s="978"/>
      <c r="I39" s="955"/>
    </row>
    <row r="40" spans="1:9" x14ac:dyDescent="0.2">
      <c r="A40" s="258"/>
      <c r="B40" s="253"/>
      <c r="C40" s="253"/>
      <c r="D40" s="253"/>
      <c r="E40" s="253"/>
      <c r="F40" s="253"/>
      <c r="G40" s="978"/>
      <c r="H40" s="978"/>
      <c r="I40" s="955"/>
    </row>
    <row r="41" spans="1:9" x14ac:dyDescent="0.2">
      <c r="A41" s="258"/>
      <c r="B41" s="253"/>
      <c r="C41" s="253"/>
      <c r="D41" s="253"/>
      <c r="E41" s="253"/>
      <c r="F41" s="253"/>
      <c r="G41" s="978"/>
      <c r="H41" s="978"/>
      <c r="I41" s="955"/>
    </row>
    <row r="42" spans="1:9" x14ac:dyDescent="0.2">
      <c r="A42" s="258"/>
      <c r="B42" s="253"/>
      <c r="C42" s="253"/>
      <c r="D42" s="253"/>
      <c r="E42" s="253"/>
      <c r="F42" s="253"/>
      <c r="G42" s="978"/>
      <c r="H42" s="978"/>
      <c r="I42" s="955"/>
    </row>
    <row r="43" spans="1:9" x14ac:dyDescent="0.2">
      <c r="A43" s="258"/>
      <c r="B43" s="253"/>
      <c r="C43" s="253"/>
      <c r="D43" s="253"/>
      <c r="E43" s="253"/>
      <c r="F43" s="253"/>
      <c r="G43" s="978"/>
      <c r="H43" s="978"/>
      <c r="I43" s="955"/>
    </row>
    <row r="44" spans="1:9" x14ac:dyDescent="0.2">
      <c r="A44" s="258"/>
      <c r="B44" s="253"/>
      <c r="C44" s="253"/>
      <c r="D44" s="253"/>
      <c r="E44" s="253"/>
      <c r="F44" s="253"/>
      <c r="G44" s="978"/>
      <c r="H44" s="978"/>
      <c r="I44" s="955"/>
    </row>
    <row r="45" spans="1:9" ht="15.75" thickBot="1" x14ac:dyDescent="0.25">
      <c r="A45" s="328"/>
      <c r="B45" s="329"/>
      <c r="C45" s="329"/>
      <c r="D45" s="329"/>
      <c r="E45" s="329"/>
      <c r="F45" s="329"/>
      <c r="G45" s="979"/>
      <c r="H45" s="979"/>
      <c r="I45" s="956"/>
    </row>
    <row r="46" spans="1:9" x14ac:dyDescent="0.2">
      <c r="A46" s="330"/>
      <c r="B46" s="331"/>
      <c r="C46" s="331"/>
      <c r="D46" s="331"/>
      <c r="E46" s="331"/>
      <c r="F46" s="331"/>
      <c r="G46" s="980"/>
      <c r="H46" s="981" t="s">
        <v>61</v>
      </c>
      <c r="I46" s="948">
        <f>SUM(I38:I45)</f>
        <v>0</v>
      </c>
    </row>
    <row r="47" spans="1:9" ht="15.75" thickBot="1" x14ac:dyDescent="0.25">
      <c r="A47" s="128"/>
      <c r="B47" s="124"/>
      <c r="C47" s="124"/>
      <c r="D47" s="124"/>
      <c r="E47" s="124"/>
      <c r="F47" s="124"/>
      <c r="G47" s="982"/>
      <c r="H47" s="983" t="s">
        <v>358</v>
      </c>
      <c r="I47" s="949"/>
    </row>
    <row r="48" spans="1:9" ht="15.75" thickTop="1" x14ac:dyDescent="0.2">
      <c r="A48" s="240" t="s">
        <v>62</v>
      </c>
      <c r="B48" s="229"/>
      <c r="C48" s="229"/>
      <c r="D48" s="229"/>
      <c r="E48" s="229"/>
      <c r="F48" s="229"/>
      <c r="G48" s="984"/>
      <c r="H48" s="984"/>
      <c r="I48" s="953"/>
    </row>
    <row r="49" spans="1:9" ht="30" x14ac:dyDescent="0.2">
      <c r="A49" s="974" t="s">
        <v>4</v>
      </c>
      <c r="B49" s="905" t="s">
        <v>41</v>
      </c>
      <c r="C49" s="973" t="s">
        <v>26</v>
      </c>
      <c r="D49" s="975" t="s">
        <v>47</v>
      </c>
      <c r="E49" s="975" t="s">
        <v>48</v>
      </c>
      <c r="F49" s="975"/>
      <c r="G49" s="976" t="s">
        <v>63</v>
      </c>
      <c r="H49" s="976" t="s">
        <v>64</v>
      </c>
      <c r="I49" s="972" t="s">
        <v>44</v>
      </c>
    </row>
    <row r="50" spans="1:9" x14ac:dyDescent="0.2">
      <c r="A50" s="257"/>
      <c r="B50" s="264"/>
      <c r="C50" s="264"/>
      <c r="D50" s="254"/>
      <c r="E50" s="254"/>
      <c r="F50" s="254"/>
      <c r="G50" s="977"/>
      <c r="H50" s="977"/>
      <c r="I50" s="954"/>
    </row>
    <row r="51" spans="1:9" x14ac:dyDescent="0.2">
      <c r="A51" s="333"/>
      <c r="B51" s="259"/>
      <c r="C51" s="259"/>
      <c r="D51" s="253"/>
      <c r="E51" s="253"/>
      <c r="F51" s="253"/>
      <c r="G51" s="978"/>
      <c r="H51" s="978"/>
      <c r="I51" s="955"/>
    </row>
    <row r="52" spans="1:9" x14ac:dyDescent="0.2">
      <c r="A52" s="332"/>
      <c r="B52" s="259"/>
      <c r="C52" s="259"/>
      <c r="D52" s="253"/>
      <c r="E52" s="253"/>
      <c r="F52" s="253"/>
      <c r="G52" s="978"/>
      <c r="H52" s="978"/>
      <c r="I52" s="955"/>
    </row>
    <row r="53" spans="1:9" x14ac:dyDescent="0.2">
      <c r="A53" s="258"/>
      <c r="B53" s="259"/>
      <c r="C53" s="259"/>
      <c r="D53" s="253"/>
      <c r="E53" s="253"/>
      <c r="F53" s="253"/>
      <c r="G53" s="978"/>
      <c r="H53" s="978"/>
      <c r="I53" s="955"/>
    </row>
    <row r="54" spans="1:9" x14ac:dyDescent="0.2">
      <c r="A54" s="258"/>
      <c r="B54" s="259"/>
      <c r="C54" s="259"/>
      <c r="D54" s="253"/>
      <c r="E54" s="253"/>
      <c r="F54" s="253"/>
      <c r="G54" s="978"/>
      <c r="H54" s="978"/>
      <c r="I54" s="955"/>
    </row>
    <row r="55" spans="1:9" x14ac:dyDescent="0.2">
      <c r="A55" s="258"/>
      <c r="B55" s="259"/>
      <c r="C55" s="259"/>
      <c r="D55" s="253"/>
      <c r="E55" s="253"/>
      <c r="F55" s="253"/>
      <c r="G55" s="978"/>
      <c r="H55" s="978"/>
      <c r="I55" s="955"/>
    </row>
    <row r="56" spans="1:9" ht="15.75" thickBot="1" x14ac:dyDescent="0.25">
      <c r="A56" s="328"/>
      <c r="B56" s="334"/>
      <c r="C56" s="334"/>
      <c r="D56" s="329"/>
      <c r="E56" s="329"/>
      <c r="F56" s="329"/>
      <c r="G56" s="979"/>
      <c r="H56" s="979"/>
      <c r="I56" s="956"/>
    </row>
    <row r="57" spans="1:9" x14ac:dyDescent="0.2">
      <c r="A57" s="330"/>
      <c r="B57" s="331"/>
      <c r="C57" s="331"/>
      <c r="D57" s="331"/>
      <c r="E57" s="331"/>
      <c r="F57" s="331"/>
      <c r="G57" s="331"/>
      <c r="H57" s="267" t="s">
        <v>65</v>
      </c>
      <c r="I57" s="948">
        <f>SUM(I50:I56)</f>
        <v>0</v>
      </c>
    </row>
    <row r="58" spans="1:9" ht="15.75" thickBot="1" x14ac:dyDescent="0.25">
      <c r="A58" s="234"/>
      <c r="B58" s="239"/>
      <c r="C58" s="239"/>
      <c r="D58" s="239"/>
      <c r="E58" s="239"/>
      <c r="F58" s="239"/>
      <c r="G58" s="239"/>
      <c r="H58" s="241" t="s">
        <v>358</v>
      </c>
      <c r="I58" s="949"/>
    </row>
    <row r="59" spans="1:9" ht="16.5" thickTop="1" thickBot="1" x14ac:dyDescent="0.25">
      <c r="A59" s="234"/>
      <c r="B59" s="241"/>
      <c r="C59" s="241"/>
      <c r="D59" s="241"/>
      <c r="E59" s="241"/>
      <c r="F59" s="241"/>
      <c r="G59" s="241"/>
      <c r="H59" s="247"/>
      <c r="I59" s="951"/>
    </row>
    <row r="60" spans="1:9" ht="15.75" thickTop="1" x14ac:dyDescent="0.2">
      <c r="A60" s="242"/>
      <c r="B60" s="243"/>
      <c r="C60" s="243"/>
      <c r="D60" s="243"/>
      <c r="E60" s="244"/>
      <c r="F60" s="244"/>
      <c r="G60" s="244"/>
      <c r="H60" s="245" t="s">
        <v>223</v>
      </c>
      <c r="I60" s="957">
        <f>I46+I57+I34</f>
        <v>0</v>
      </c>
    </row>
    <row r="61" spans="1:9" ht="15.75" thickBot="1" x14ac:dyDescent="0.25">
      <c r="A61" s="246"/>
      <c r="B61" s="241"/>
      <c r="C61" s="241"/>
      <c r="D61" s="241"/>
      <c r="E61" s="241"/>
      <c r="F61" s="241"/>
      <c r="G61" s="241"/>
      <c r="H61" s="241" t="s">
        <v>358</v>
      </c>
      <c r="I61" s="958">
        <f>I18+I35+I47+I58</f>
        <v>0</v>
      </c>
    </row>
    <row r="62" spans="1:9" ht="15.75" thickTop="1" x14ac:dyDescent="0.2">
      <c r="I62" s="518"/>
    </row>
    <row r="63" spans="1:9" x14ac:dyDescent="0.2">
      <c r="I63" s="225"/>
    </row>
    <row r="64" spans="1:9" x14ac:dyDescent="0.2">
      <c r="I64" s="225"/>
    </row>
    <row r="65" spans="9:9" x14ac:dyDescent="0.2">
      <c r="I65" s="225"/>
    </row>
    <row r="66" spans="9:9" x14ac:dyDescent="0.2">
      <c r="I66" s="225"/>
    </row>
    <row r="67" spans="9:9" x14ac:dyDescent="0.2">
      <c r="I67" s="225"/>
    </row>
    <row r="68" spans="9:9" x14ac:dyDescent="0.2">
      <c r="I68" s="225"/>
    </row>
    <row r="69" spans="9:9" x14ac:dyDescent="0.2">
      <c r="I69" s="225"/>
    </row>
    <row r="70" spans="9:9" x14ac:dyDescent="0.2">
      <c r="I70" s="225"/>
    </row>
    <row r="71" spans="9:9" x14ac:dyDescent="0.2">
      <c r="I71" s="225"/>
    </row>
    <row r="72" spans="9:9" x14ac:dyDescent="0.2">
      <c r="I72" s="225"/>
    </row>
    <row r="73" spans="9:9" x14ac:dyDescent="0.2">
      <c r="I73" s="225"/>
    </row>
    <row r="74" spans="9:9" x14ac:dyDescent="0.2">
      <c r="I74" s="225"/>
    </row>
    <row r="75" spans="9:9" x14ac:dyDescent="0.2">
      <c r="I75" s="225"/>
    </row>
    <row r="76" spans="9:9" x14ac:dyDescent="0.2">
      <c r="I76" s="225"/>
    </row>
    <row r="77" spans="9:9" x14ac:dyDescent="0.2">
      <c r="I77" s="225"/>
    </row>
    <row r="78" spans="9:9" x14ac:dyDescent="0.2">
      <c r="I78" s="225"/>
    </row>
    <row r="79" spans="9:9" x14ac:dyDescent="0.2">
      <c r="I79" s="225"/>
    </row>
    <row r="80" spans="9:9" x14ac:dyDescent="0.2">
      <c r="I80" s="225"/>
    </row>
    <row r="81" spans="9:9" x14ac:dyDescent="0.2">
      <c r="I81" s="225"/>
    </row>
    <row r="82" spans="9:9" x14ac:dyDescent="0.2">
      <c r="I82" s="225"/>
    </row>
    <row r="83" spans="9:9" x14ac:dyDescent="0.2">
      <c r="I83" s="225"/>
    </row>
    <row r="84" spans="9:9" x14ac:dyDescent="0.2">
      <c r="I84" s="225"/>
    </row>
    <row r="85" spans="9:9" x14ac:dyDescent="0.2">
      <c r="I85" s="225"/>
    </row>
    <row r="86" spans="9:9" x14ac:dyDescent="0.2">
      <c r="I86" s="225"/>
    </row>
    <row r="87" spans="9:9" x14ac:dyDescent="0.2">
      <c r="I87" s="225"/>
    </row>
    <row r="88" spans="9:9" x14ac:dyDescent="0.2">
      <c r="I88" s="225"/>
    </row>
    <row r="89" spans="9:9" x14ac:dyDescent="0.2">
      <c r="I89" s="225"/>
    </row>
    <row r="90" spans="9:9" x14ac:dyDescent="0.2">
      <c r="I90" s="225"/>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0" type="noConversion"/>
  <pageMargins left="0.94488188976377963" right="0.55118110236220474" top="0.62992125984251968" bottom="0.98425196850393704" header="0.51181102362204722" footer="0.51181102362204722"/>
  <pageSetup paperSize="9" scale="66" orientation="portrait" horizontalDpi="4294967293" verticalDpi="2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1"/>
  <sheetViews>
    <sheetView view="pageBreakPreview" zoomScale="90" zoomScaleNormal="75" zoomScaleSheetLayoutView="90" workbookViewId="0">
      <selection activeCell="A10" sqref="A10:F10"/>
    </sheetView>
  </sheetViews>
  <sheetFormatPr defaultRowHeight="15" x14ac:dyDescent="0.2"/>
  <cols>
    <col min="1" max="1" width="33.44140625" customWidth="1"/>
    <col min="2" max="2" width="10.77734375" customWidth="1"/>
    <col min="9" max="9" width="11.6640625" customWidth="1"/>
  </cols>
  <sheetData>
    <row r="1" spans="1:9" ht="22.5" customHeight="1" thickTop="1" x14ac:dyDescent="0.2">
      <c r="A1" s="335" t="s">
        <v>66</v>
      </c>
      <c r="B1" s="226"/>
      <c r="C1" s="226"/>
      <c r="D1" s="226"/>
      <c r="E1" s="226"/>
      <c r="F1" s="226"/>
      <c r="G1" s="226"/>
      <c r="H1" s="226"/>
      <c r="I1" s="227"/>
    </row>
    <row r="2" spans="1:9" ht="21.75" customHeight="1" x14ac:dyDescent="0.2">
      <c r="A2" s="262" t="s">
        <v>221</v>
      </c>
      <c r="B2" s="158"/>
      <c r="C2" s="158"/>
      <c r="D2" s="124"/>
      <c r="E2" s="283" t="s">
        <v>234</v>
      </c>
      <c r="F2" s="158"/>
      <c r="G2" s="158"/>
      <c r="H2" s="158"/>
      <c r="I2" s="248"/>
    </row>
    <row r="3" spans="1:9" ht="15.75" x14ac:dyDescent="0.2">
      <c r="A3" s="274" t="s">
        <v>357</v>
      </c>
      <c r="B3" s="273">
        <f>'Input Data'!D28</f>
        <v>0</v>
      </c>
      <c r="C3" s="235"/>
      <c r="D3" s="208" t="s">
        <v>297</v>
      </c>
      <c r="E3" s="223">
        <f>'Input Data'!D5</f>
        <v>0</v>
      </c>
      <c r="F3" s="124"/>
      <c r="G3" s="124"/>
      <c r="H3" s="124"/>
      <c r="I3" s="130"/>
    </row>
    <row r="4" spans="1:9" ht="15.75" thickBot="1" x14ac:dyDescent="0.25">
      <c r="A4" s="200"/>
      <c r="B4" s="139"/>
      <c r="C4" s="139"/>
      <c r="D4" s="139"/>
      <c r="E4" s="139"/>
      <c r="F4" s="139"/>
      <c r="G4" s="139"/>
      <c r="H4" s="139"/>
      <c r="I4" s="201"/>
    </row>
    <row r="5" spans="1:9" ht="15.75" thickTop="1" x14ac:dyDescent="0.2">
      <c r="A5" s="159"/>
      <c r="B5" s="126"/>
      <c r="C5" s="126"/>
      <c r="D5" s="126"/>
      <c r="E5" s="126"/>
      <c r="F5" s="126"/>
      <c r="G5" s="126"/>
      <c r="H5" s="126"/>
      <c r="I5" s="127"/>
    </row>
    <row r="6" spans="1:9" x14ac:dyDescent="0.2">
      <c r="A6" s="240" t="s">
        <v>14</v>
      </c>
      <c r="B6" s="233"/>
      <c r="C6" s="233"/>
      <c r="D6" s="233"/>
      <c r="E6" s="233"/>
      <c r="F6" s="233"/>
      <c r="G6" s="233"/>
      <c r="H6" s="233"/>
      <c r="I6" s="250"/>
    </row>
    <row r="7" spans="1:9" ht="31.5" x14ac:dyDescent="0.2">
      <c r="A7" s="1529" t="s">
        <v>67</v>
      </c>
      <c r="B7" s="1530"/>
      <c r="C7" s="1530"/>
      <c r="D7" s="1530"/>
      <c r="E7" s="1530"/>
      <c r="F7" s="1531"/>
      <c r="G7" s="992" t="s">
        <v>17</v>
      </c>
      <c r="H7" s="992" t="s">
        <v>424</v>
      </c>
      <c r="I7" s="993" t="s">
        <v>44</v>
      </c>
    </row>
    <row r="8" spans="1:9" x14ac:dyDescent="0.2">
      <c r="A8" s="1527"/>
      <c r="B8" s="1528"/>
      <c r="C8" s="1528"/>
      <c r="D8" s="1528"/>
      <c r="E8" s="1528"/>
      <c r="F8" s="1523"/>
      <c r="G8" s="285"/>
      <c r="H8" s="995"/>
      <c r="I8" s="985">
        <f t="shared" ref="I8:I14" si="0">G8*H8</f>
        <v>0</v>
      </c>
    </row>
    <row r="9" spans="1:9" x14ac:dyDescent="0.2">
      <c r="A9" s="1516"/>
      <c r="B9" s="1517"/>
      <c r="C9" s="1517"/>
      <c r="D9" s="1517"/>
      <c r="E9" s="1517"/>
      <c r="F9" s="1508"/>
      <c r="G9" s="253"/>
      <c r="H9" s="996"/>
      <c r="I9" s="910">
        <f t="shared" si="0"/>
        <v>0</v>
      </c>
    </row>
    <row r="10" spans="1:9" x14ac:dyDescent="0.2">
      <c r="A10" s="1516"/>
      <c r="B10" s="1517"/>
      <c r="C10" s="1517"/>
      <c r="D10" s="1517"/>
      <c r="E10" s="1517"/>
      <c r="F10" s="1508"/>
      <c r="G10" s="253"/>
      <c r="H10" s="996"/>
      <c r="I10" s="910">
        <f t="shared" si="0"/>
        <v>0</v>
      </c>
    </row>
    <row r="11" spans="1:9" x14ac:dyDescent="0.2">
      <c r="A11" s="1516"/>
      <c r="B11" s="1517"/>
      <c r="C11" s="1517"/>
      <c r="D11" s="1517"/>
      <c r="E11" s="1517"/>
      <c r="F11" s="1508"/>
      <c r="G11" s="253"/>
      <c r="H11" s="996"/>
      <c r="I11" s="910">
        <f t="shared" si="0"/>
        <v>0</v>
      </c>
    </row>
    <row r="12" spans="1:9" x14ac:dyDescent="0.2">
      <c r="A12" s="1516"/>
      <c r="B12" s="1517"/>
      <c r="C12" s="1517"/>
      <c r="D12" s="1517"/>
      <c r="E12" s="1517"/>
      <c r="F12" s="1508"/>
      <c r="G12" s="253"/>
      <c r="H12" s="996"/>
      <c r="I12" s="910">
        <f t="shared" si="0"/>
        <v>0</v>
      </c>
    </row>
    <row r="13" spans="1:9" x14ac:dyDescent="0.2">
      <c r="A13" s="1516"/>
      <c r="B13" s="1517"/>
      <c r="C13" s="1517"/>
      <c r="D13" s="1517"/>
      <c r="E13" s="1517"/>
      <c r="F13" s="1508"/>
      <c r="G13" s="253"/>
      <c r="H13" s="996"/>
      <c r="I13" s="910">
        <f t="shared" si="0"/>
        <v>0</v>
      </c>
    </row>
    <row r="14" spans="1:9" ht="15.75" thickBot="1" x14ac:dyDescent="0.25">
      <c r="A14" s="1518"/>
      <c r="B14" s="1519"/>
      <c r="C14" s="1519"/>
      <c r="D14" s="1519"/>
      <c r="E14" s="1519"/>
      <c r="F14" s="1513"/>
      <c r="G14" s="329"/>
      <c r="H14" s="997"/>
      <c r="I14" s="947">
        <f t="shared" si="0"/>
        <v>0</v>
      </c>
    </row>
    <row r="15" spans="1:9" x14ac:dyDescent="0.2">
      <c r="A15" s="330"/>
      <c r="B15" s="331"/>
      <c r="C15" s="331"/>
      <c r="D15" s="331"/>
      <c r="E15" s="331"/>
      <c r="F15" s="331"/>
      <c r="G15" s="331"/>
      <c r="H15" s="962" t="s">
        <v>68</v>
      </c>
      <c r="I15" s="948">
        <f>SUM(I8:I14)</f>
        <v>0</v>
      </c>
    </row>
    <row r="16" spans="1:9" x14ac:dyDescent="0.2">
      <c r="A16" s="234"/>
      <c r="B16" s="239"/>
      <c r="C16" s="239"/>
      <c r="D16" s="239"/>
      <c r="E16" s="239"/>
      <c r="F16" s="239"/>
      <c r="G16" s="239"/>
      <c r="H16" s="927" t="s">
        <v>358</v>
      </c>
      <c r="I16" s="918"/>
    </row>
    <row r="17" spans="1:9" x14ac:dyDescent="0.2">
      <c r="A17" s="240" t="s">
        <v>15</v>
      </c>
      <c r="B17" s="229"/>
      <c r="C17" s="229"/>
      <c r="D17" s="229"/>
      <c r="E17" s="229"/>
      <c r="F17" s="229"/>
      <c r="G17" s="229"/>
      <c r="H17" s="998"/>
      <c r="I17" s="986"/>
    </row>
    <row r="18" spans="1:9" ht="30" x14ac:dyDescent="0.2">
      <c r="A18" s="1524" t="s">
        <v>16</v>
      </c>
      <c r="B18" s="1525"/>
      <c r="C18" s="1525"/>
      <c r="D18" s="1525"/>
      <c r="E18" s="1526"/>
      <c r="F18" s="975" t="s">
        <v>17</v>
      </c>
      <c r="G18" s="975" t="s">
        <v>69</v>
      </c>
      <c r="H18" s="999" t="s">
        <v>424</v>
      </c>
      <c r="I18" s="972" t="s">
        <v>44</v>
      </c>
    </row>
    <row r="19" spans="1:9" x14ac:dyDescent="0.2">
      <c r="A19" s="1527"/>
      <c r="B19" s="1528"/>
      <c r="C19" s="1528"/>
      <c r="D19" s="1528"/>
      <c r="E19" s="1523"/>
      <c r="F19" s="286"/>
      <c r="G19" s="286"/>
      <c r="H19" s="1000"/>
      <c r="I19" s="909">
        <f t="shared" ref="I19:I27" si="1">F19*G19*H19</f>
        <v>0</v>
      </c>
    </row>
    <row r="20" spans="1:9" x14ac:dyDescent="0.2">
      <c r="A20" s="1516"/>
      <c r="B20" s="1517"/>
      <c r="C20" s="1517"/>
      <c r="D20" s="1517"/>
      <c r="E20" s="1508"/>
      <c r="F20" s="253"/>
      <c r="G20" s="253"/>
      <c r="H20" s="996"/>
      <c r="I20" s="910">
        <f t="shared" si="1"/>
        <v>0</v>
      </c>
    </row>
    <row r="21" spans="1:9" x14ac:dyDescent="0.2">
      <c r="A21" s="1516"/>
      <c r="B21" s="1517"/>
      <c r="C21" s="1517"/>
      <c r="D21" s="1517"/>
      <c r="E21" s="1508"/>
      <c r="F21" s="253"/>
      <c r="G21" s="253"/>
      <c r="H21" s="996"/>
      <c r="I21" s="910">
        <f t="shared" si="1"/>
        <v>0</v>
      </c>
    </row>
    <row r="22" spans="1:9" x14ac:dyDescent="0.2">
      <c r="A22" s="1516"/>
      <c r="B22" s="1517"/>
      <c r="C22" s="1517"/>
      <c r="D22" s="1517"/>
      <c r="E22" s="1508"/>
      <c r="F22" s="253"/>
      <c r="G22" s="253"/>
      <c r="H22" s="996"/>
      <c r="I22" s="910">
        <f t="shared" si="1"/>
        <v>0</v>
      </c>
    </row>
    <row r="23" spans="1:9" x14ac:dyDescent="0.2">
      <c r="A23" s="1516"/>
      <c r="B23" s="1517"/>
      <c r="C23" s="1517"/>
      <c r="D23" s="1517"/>
      <c r="E23" s="1508"/>
      <c r="F23" s="253"/>
      <c r="G23" s="253"/>
      <c r="H23" s="996"/>
      <c r="I23" s="910">
        <f t="shared" si="1"/>
        <v>0</v>
      </c>
    </row>
    <row r="24" spans="1:9" x14ac:dyDescent="0.2">
      <c r="A24" s="1516"/>
      <c r="B24" s="1517"/>
      <c r="C24" s="1517"/>
      <c r="D24" s="1517"/>
      <c r="E24" s="1508"/>
      <c r="F24" s="253"/>
      <c r="G24" s="253"/>
      <c r="H24" s="996"/>
      <c r="I24" s="910">
        <f t="shared" si="1"/>
        <v>0</v>
      </c>
    </row>
    <row r="25" spans="1:9" x14ac:dyDescent="0.2">
      <c r="A25" s="1516"/>
      <c r="B25" s="1517"/>
      <c r="C25" s="1517"/>
      <c r="D25" s="1517"/>
      <c r="E25" s="1508"/>
      <c r="F25" s="253"/>
      <c r="G25" s="253"/>
      <c r="H25" s="996"/>
      <c r="I25" s="910">
        <f t="shared" si="1"/>
        <v>0</v>
      </c>
    </row>
    <row r="26" spans="1:9" x14ac:dyDescent="0.2">
      <c r="A26" s="1516"/>
      <c r="B26" s="1517"/>
      <c r="C26" s="1517"/>
      <c r="D26" s="1517"/>
      <c r="E26" s="1508"/>
      <c r="F26" s="253"/>
      <c r="G26" s="253"/>
      <c r="H26" s="996"/>
      <c r="I26" s="910">
        <f t="shared" si="1"/>
        <v>0</v>
      </c>
    </row>
    <row r="27" spans="1:9" ht="15.75" thickBot="1" x14ac:dyDescent="0.25">
      <c r="A27" s="1518"/>
      <c r="B27" s="1519"/>
      <c r="C27" s="1519"/>
      <c r="D27" s="1519"/>
      <c r="E27" s="1513"/>
      <c r="F27" s="329"/>
      <c r="G27" s="329"/>
      <c r="H27" s="997"/>
      <c r="I27" s="947">
        <f t="shared" si="1"/>
        <v>0</v>
      </c>
    </row>
    <row r="28" spans="1:9" x14ac:dyDescent="0.2">
      <c r="A28" s="330"/>
      <c r="B28" s="331"/>
      <c r="C28" s="331"/>
      <c r="D28" s="331"/>
      <c r="E28" s="331"/>
      <c r="F28" s="331"/>
      <c r="G28" s="331"/>
      <c r="H28" s="962" t="s">
        <v>70</v>
      </c>
      <c r="I28" s="948">
        <f>SUM(I19:I27)</f>
        <v>0</v>
      </c>
    </row>
    <row r="29" spans="1:9" x14ac:dyDescent="0.2">
      <c r="A29" s="234"/>
      <c r="B29" s="239"/>
      <c r="C29" s="239"/>
      <c r="D29" s="239"/>
      <c r="E29" s="239"/>
      <c r="F29" s="239"/>
      <c r="G29" s="239"/>
      <c r="H29" s="927" t="s">
        <v>358</v>
      </c>
      <c r="I29" s="918"/>
    </row>
    <row r="30" spans="1:9" x14ac:dyDescent="0.2">
      <c r="A30" s="240" t="s">
        <v>71</v>
      </c>
      <c r="B30" s="229"/>
      <c r="C30" s="229"/>
      <c r="D30" s="229"/>
      <c r="E30" s="229"/>
      <c r="F30" s="229"/>
      <c r="G30" s="229"/>
      <c r="H30" s="998"/>
      <c r="I30" s="987"/>
    </row>
    <row r="31" spans="1:9" ht="45" x14ac:dyDescent="0.2">
      <c r="A31" s="1524" t="s">
        <v>16</v>
      </c>
      <c r="B31" s="1525"/>
      <c r="C31" s="1525"/>
      <c r="D31" s="1525"/>
      <c r="E31" s="1525"/>
      <c r="F31" s="1526"/>
      <c r="G31" s="970" t="s">
        <v>72</v>
      </c>
      <c r="H31" s="999" t="s">
        <v>424</v>
      </c>
      <c r="I31" s="972" t="s">
        <v>44</v>
      </c>
    </row>
    <row r="32" spans="1:9" x14ac:dyDescent="0.2">
      <c r="A32" s="1527"/>
      <c r="B32" s="1528"/>
      <c r="C32" s="1528"/>
      <c r="D32" s="1528"/>
      <c r="E32" s="1528"/>
      <c r="F32" s="1523"/>
      <c r="G32" s="286"/>
      <c r="H32" s="1000"/>
      <c r="I32" s="909">
        <f t="shared" ref="I32:I38" si="2">G32*H32</f>
        <v>0</v>
      </c>
    </row>
    <row r="33" spans="1:9" x14ac:dyDescent="0.2">
      <c r="A33" s="1516"/>
      <c r="B33" s="1517"/>
      <c r="C33" s="1517"/>
      <c r="D33" s="1517"/>
      <c r="E33" s="1517"/>
      <c r="F33" s="1508"/>
      <c r="G33" s="253"/>
      <c r="H33" s="996"/>
      <c r="I33" s="910">
        <f t="shared" si="2"/>
        <v>0</v>
      </c>
    </row>
    <row r="34" spans="1:9" x14ac:dyDescent="0.2">
      <c r="A34" s="1516"/>
      <c r="B34" s="1517"/>
      <c r="C34" s="1517"/>
      <c r="D34" s="1517"/>
      <c r="E34" s="1517"/>
      <c r="F34" s="1508"/>
      <c r="G34" s="253"/>
      <c r="H34" s="996"/>
      <c r="I34" s="910">
        <f t="shared" si="2"/>
        <v>0</v>
      </c>
    </row>
    <row r="35" spans="1:9" x14ac:dyDescent="0.2">
      <c r="A35" s="1516"/>
      <c r="B35" s="1517"/>
      <c r="C35" s="1517"/>
      <c r="D35" s="1517"/>
      <c r="E35" s="1517"/>
      <c r="F35" s="1508"/>
      <c r="G35" s="253"/>
      <c r="H35" s="996"/>
      <c r="I35" s="910">
        <f t="shared" si="2"/>
        <v>0</v>
      </c>
    </row>
    <row r="36" spans="1:9" x14ac:dyDescent="0.2">
      <c r="A36" s="1516"/>
      <c r="B36" s="1517"/>
      <c r="C36" s="1517"/>
      <c r="D36" s="1517"/>
      <c r="E36" s="1517"/>
      <c r="F36" s="1508"/>
      <c r="G36" s="253"/>
      <c r="H36" s="996"/>
      <c r="I36" s="910">
        <f t="shared" si="2"/>
        <v>0</v>
      </c>
    </row>
    <row r="37" spans="1:9" x14ac:dyDescent="0.2">
      <c r="A37" s="1516"/>
      <c r="B37" s="1517"/>
      <c r="C37" s="1517"/>
      <c r="D37" s="1517"/>
      <c r="E37" s="1517"/>
      <c r="F37" s="1508"/>
      <c r="G37" s="253"/>
      <c r="H37" s="996"/>
      <c r="I37" s="910">
        <f t="shared" si="2"/>
        <v>0</v>
      </c>
    </row>
    <row r="38" spans="1:9" ht="15.75" thickBot="1" x14ac:dyDescent="0.25">
      <c r="A38" s="1518"/>
      <c r="B38" s="1519"/>
      <c r="C38" s="1519"/>
      <c r="D38" s="1519"/>
      <c r="E38" s="1519"/>
      <c r="F38" s="1513"/>
      <c r="G38" s="329"/>
      <c r="H38" s="997"/>
      <c r="I38" s="947">
        <f t="shared" si="2"/>
        <v>0</v>
      </c>
    </row>
    <row r="39" spans="1:9" x14ac:dyDescent="0.2">
      <c r="A39" s="330"/>
      <c r="B39" s="331"/>
      <c r="C39" s="331"/>
      <c r="D39" s="331"/>
      <c r="E39" s="331"/>
      <c r="F39" s="331"/>
      <c r="G39" s="331"/>
      <c r="H39" s="962" t="s">
        <v>73</v>
      </c>
      <c r="I39" s="948">
        <f>SUM(I32:I38)</f>
        <v>0</v>
      </c>
    </row>
    <row r="40" spans="1:9" x14ac:dyDescent="0.2">
      <c r="A40" s="234"/>
      <c r="B40" s="239"/>
      <c r="C40" s="239"/>
      <c r="D40" s="239"/>
      <c r="E40" s="239"/>
      <c r="F40" s="239"/>
      <c r="G40" s="239"/>
      <c r="H40" s="927" t="s">
        <v>358</v>
      </c>
      <c r="I40" s="918"/>
    </row>
    <row r="41" spans="1:9" x14ac:dyDescent="0.2">
      <c r="A41" s="255" t="s">
        <v>74</v>
      </c>
      <c r="B41" s="256"/>
      <c r="C41" s="256"/>
      <c r="D41" s="256"/>
      <c r="E41" s="256"/>
      <c r="F41" s="256"/>
      <c r="G41" s="256"/>
      <c r="H41" s="1001"/>
      <c r="I41" s="988"/>
    </row>
    <row r="42" spans="1:9" ht="31.5" x14ac:dyDescent="0.2">
      <c r="A42" s="967" t="s">
        <v>4</v>
      </c>
      <c r="B42" s="968" t="s">
        <v>11</v>
      </c>
      <c r="C42" s="968" t="s">
        <v>75</v>
      </c>
      <c r="D42" s="1520" t="s">
        <v>76</v>
      </c>
      <c r="E42" s="1521"/>
      <c r="F42" s="968" t="s">
        <v>12</v>
      </c>
      <c r="G42" s="968" t="s">
        <v>13</v>
      </c>
      <c r="H42" s="1002" t="s">
        <v>424</v>
      </c>
      <c r="I42" s="994" t="s">
        <v>44</v>
      </c>
    </row>
    <row r="43" spans="1:9" x14ac:dyDescent="0.2">
      <c r="A43" s="324"/>
      <c r="B43" s="288"/>
      <c r="C43" s="286"/>
      <c r="D43" s="1522"/>
      <c r="E43" s="1523"/>
      <c r="F43" s="286"/>
      <c r="G43" s="286"/>
      <c r="H43" s="959"/>
      <c r="I43" s="909">
        <f t="shared" ref="I43:I55" si="3">C43*H43</f>
        <v>0</v>
      </c>
    </row>
    <row r="44" spans="1:9" x14ac:dyDescent="0.2">
      <c r="A44" s="258"/>
      <c r="B44" s="253"/>
      <c r="C44" s="253"/>
      <c r="D44" s="1507"/>
      <c r="E44" s="1508"/>
      <c r="F44" s="253"/>
      <c r="G44" s="253"/>
      <c r="H44" s="960"/>
      <c r="I44" s="910">
        <f t="shared" si="3"/>
        <v>0</v>
      </c>
    </row>
    <row r="45" spans="1:9" x14ac:dyDescent="0.2">
      <c r="A45" s="258"/>
      <c r="B45" s="253"/>
      <c r="C45" s="253"/>
      <c r="D45" s="1507"/>
      <c r="E45" s="1508"/>
      <c r="F45" s="253"/>
      <c r="G45" s="253"/>
      <c r="H45" s="960"/>
      <c r="I45" s="910">
        <f t="shared" si="3"/>
        <v>0</v>
      </c>
    </row>
    <row r="46" spans="1:9" x14ac:dyDescent="0.2">
      <c r="A46" s="258"/>
      <c r="B46" s="253"/>
      <c r="C46" s="253"/>
      <c r="D46" s="1507"/>
      <c r="E46" s="1508"/>
      <c r="F46" s="253"/>
      <c r="G46" s="253"/>
      <c r="H46" s="960"/>
      <c r="I46" s="910">
        <f t="shared" si="3"/>
        <v>0</v>
      </c>
    </row>
    <row r="47" spans="1:9" x14ac:dyDescent="0.2">
      <c r="A47" s="258"/>
      <c r="B47" s="253"/>
      <c r="C47" s="253"/>
      <c r="D47" s="1507"/>
      <c r="E47" s="1508"/>
      <c r="F47" s="253"/>
      <c r="G47" s="253"/>
      <c r="H47" s="960"/>
      <c r="I47" s="910">
        <f t="shared" si="3"/>
        <v>0</v>
      </c>
    </row>
    <row r="48" spans="1:9" x14ac:dyDescent="0.2">
      <c r="A48" s="258"/>
      <c r="B48" s="253"/>
      <c r="C48" s="253"/>
      <c r="D48" s="1507"/>
      <c r="E48" s="1508"/>
      <c r="F48" s="253"/>
      <c r="G48" s="253"/>
      <c r="H48" s="960"/>
      <c r="I48" s="910">
        <f t="shared" si="3"/>
        <v>0</v>
      </c>
    </row>
    <row r="49" spans="1:9" x14ac:dyDescent="0.2">
      <c r="A49" s="258"/>
      <c r="B49" s="253"/>
      <c r="C49" s="253"/>
      <c r="D49" s="1507"/>
      <c r="E49" s="1508"/>
      <c r="F49" s="253"/>
      <c r="G49" s="253"/>
      <c r="H49" s="960"/>
      <c r="I49" s="910">
        <f t="shared" si="3"/>
        <v>0</v>
      </c>
    </row>
    <row r="50" spans="1:9" x14ac:dyDescent="0.2">
      <c r="A50" s="258"/>
      <c r="B50" s="253"/>
      <c r="C50" s="253"/>
      <c r="D50" s="1507"/>
      <c r="E50" s="1508"/>
      <c r="F50" s="253"/>
      <c r="G50" s="253"/>
      <c r="H50" s="960"/>
      <c r="I50" s="910">
        <f t="shared" si="3"/>
        <v>0</v>
      </c>
    </row>
    <row r="51" spans="1:9" x14ac:dyDescent="0.2">
      <c r="A51" s="258"/>
      <c r="B51" s="253"/>
      <c r="C51" s="253"/>
      <c r="D51" s="1507"/>
      <c r="E51" s="1508"/>
      <c r="F51" s="253"/>
      <c r="G51" s="253"/>
      <c r="H51" s="960"/>
      <c r="I51" s="910">
        <f t="shared" si="3"/>
        <v>0</v>
      </c>
    </row>
    <row r="52" spans="1:9" x14ac:dyDescent="0.2">
      <c r="A52" s="258"/>
      <c r="B52" s="253"/>
      <c r="C52" s="253"/>
      <c r="D52" s="1507"/>
      <c r="E52" s="1508"/>
      <c r="F52" s="253"/>
      <c r="G52" s="253"/>
      <c r="H52" s="960"/>
      <c r="I52" s="910">
        <f t="shared" si="3"/>
        <v>0</v>
      </c>
    </row>
    <row r="53" spans="1:9" x14ac:dyDescent="0.2">
      <c r="A53" s="258"/>
      <c r="B53" s="253"/>
      <c r="C53" s="253"/>
      <c r="D53" s="1507"/>
      <c r="E53" s="1508"/>
      <c r="F53" s="253"/>
      <c r="G53" s="253"/>
      <c r="H53" s="960"/>
      <c r="I53" s="910">
        <f t="shared" si="3"/>
        <v>0</v>
      </c>
    </row>
    <row r="54" spans="1:9" x14ac:dyDescent="0.2">
      <c r="A54" s="258"/>
      <c r="B54" s="253"/>
      <c r="C54" s="253"/>
      <c r="D54" s="1507"/>
      <c r="E54" s="1508"/>
      <c r="F54" s="253"/>
      <c r="G54" s="253"/>
      <c r="H54" s="960"/>
      <c r="I54" s="910">
        <f t="shared" si="3"/>
        <v>0</v>
      </c>
    </row>
    <row r="55" spans="1:9" ht="15.75" thickBot="1" x14ac:dyDescent="0.25">
      <c r="A55" s="328"/>
      <c r="B55" s="329"/>
      <c r="C55" s="329"/>
      <c r="D55" s="1512"/>
      <c r="E55" s="1513"/>
      <c r="F55" s="329"/>
      <c r="G55" s="329"/>
      <c r="H55" s="961"/>
      <c r="I55" s="947">
        <f t="shared" si="3"/>
        <v>0</v>
      </c>
    </row>
    <row r="56" spans="1:9" x14ac:dyDescent="0.2">
      <c r="A56" s="330"/>
      <c r="B56" s="331"/>
      <c r="C56" s="331"/>
      <c r="D56" s="331"/>
      <c r="E56" s="331"/>
      <c r="F56" s="331"/>
      <c r="G56" s="331"/>
      <c r="H56" s="267" t="s">
        <v>77</v>
      </c>
      <c r="I56" s="948">
        <f>SUM(I43:I55)</f>
        <v>0</v>
      </c>
    </row>
    <row r="57" spans="1:9" x14ac:dyDescent="0.2">
      <c r="A57" s="234"/>
      <c r="B57" s="239"/>
      <c r="C57" s="239"/>
      <c r="D57" s="239"/>
      <c r="E57" s="239"/>
      <c r="F57" s="239"/>
      <c r="G57" s="239"/>
      <c r="H57" s="239" t="s">
        <v>358</v>
      </c>
      <c r="I57" s="918"/>
    </row>
    <row r="58" spans="1:9" ht="15.75" thickBot="1" x14ac:dyDescent="0.25">
      <c r="A58" s="1514"/>
      <c r="B58" s="1515"/>
      <c r="C58" s="1515"/>
      <c r="D58" s="1515"/>
      <c r="E58" s="1515"/>
      <c r="F58" s="1515"/>
      <c r="G58" s="1515"/>
      <c r="H58" s="1515"/>
      <c r="I58" s="989"/>
    </row>
    <row r="59" spans="1:9" ht="16.5" thickTop="1" thickBot="1" x14ac:dyDescent="0.25">
      <c r="A59" s="1509" t="s">
        <v>225</v>
      </c>
      <c r="B59" s="1510"/>
      <c r="C59" s="1510"/>
      <c r="D59" s="1510"/>
      <c r="E59" s="1510"/>
      <c r="F59" s="1510"/>
      <c r="G59" s="1510"/>
      <c r="H59" s="1511"/>
      <c r="I59" s="990">
        <f>I56+I39+I28+I15</f>
        <v>0</v>
      </c>
    </row>
    <row r="60" spans="1:9" ht="16.5" thickTop="1" thickBot="1" x14ac:dyDescent="0.25">
      <c r="A60" s="246"/>
      <c r="B60" s="241"/>
      <c r="C60" s="241"/>
      <c r="D60" s="241"/>
      <c r="E60" s="241"/>
      <c r="F60" s="241"/>
      <c r="G60" s="241"/>
      <c r="H60" s="241" t="s">
        <v>358</v>
      </c>
      <c r="I60" s="991">
        <f>I57+I40+I29+I16</f>
        <v>0</v>
      </c>
    </row>
    <row r="61"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2">
    <mergeCell ref="A20:E20"/>
    <mergeCell ref="A21:E21"/>
    <mergeCell ref="A7:F7"/>
    <mergeCell ref="A8:F8"/>
    <mergeCell ref="A9:F9"/>
    <mergeCell ref="A10:F10"/>
    <mergeCell ref="A11:F11"/>
    <mergeCell ref="A12:F12"/>
    <mergeCell ref="A13:F13"/>
    <mergeCell ref="A14:F14"/>
    <mergeCell ref="A18:E18"/>
    <mergeCell ref="A19:E19"/>
    <mergeCell ref="A35:F35"/>
    <mergeCell ref="A36:F36"/>
    <mergeCell ref="A22:E22"/>
    <mergeCell ref="A23:E23"/>
    <mergeCell ref="A24:E24"/>
    <mergeCell ref="A25:E25"/>
    <mergeCell ref="A26:E26"/>
    <mergeCell ref="A27:E27"/>
    <mergeCell ref="D46:E46"/>
    <mergeCell ref="D47:E47"/>
    <mergeCell ref="A31:F31"/>
    <mergeCell ref="A32:F32"/>
    <mergeCell ref="A33:F33"/>
    <mergeCell ref="A34:F34"/>
    <mergeCell ref="A37:F37"/>
    <mergeCell ref="A38:F38"/>
    <mergeCell ref="D42:E42"/>
    <mergeCell ref="D43:E43"/>
    <mergeCell ref="D44:E44"/>
    <mergeCell ref="D45:E45"/>
    <mergeCell ref="D48:E48"/>
    <mergeCell ref="D49:E49"/>
    <mergeCell ref="D52:E52"/>
    <mergeCell ref="A59:H59"/>
    <mergeCell ref="D53:E53"/>
    <mergeCell ref="D54:E54"/>
    <mergeCell ref="D55:E55"/>
    <mergeCell ref="A58:H58"/>
    <mergeCell ref="D50:E50"/>
    <mergeCell ref="D51:E51"/>
  </mergeCells>
  <phoneticPr fontId="0" type="noConversion"/>
  <pageMargins left="0.57999999999999996" right="0.49" top="1" bottom="1" header="0.5" footer="0.5"/>
  <pageSetup paperSize="9" scale="69" orientation="portrait"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sheetPr>
  <dimension ref="A1:K70"/>
  <sheetViews>
    <sheetView zoomScale="75" zoomScaleNormal="75" zoomScaleSheetLayoutView="90" workbookViewId="0">
      <selection activeCell="F10" sqref="F10"/>
    </sheetView>
  </sheetViews>
  <sheetFormatPr defaultRowHeight="15" x14ac:dyDescent="0.2"/>
  <cols>
    <col min="1" max="1" width="10.5546875" customWidth="1"/>
    <col min="2" max="2" width="13.109375" customWidth="1"/>
    <col min="3" max="3" width="19.109375" customWidth="1"/>
    <col min="4" max="4" width="10.77734375" customWidth="1"/>
    <col min="5" max="5" width="13.77734375" customWidth="1"/>
    <col min="6" max="6" width="11" customWidth="1"/>
    <col min="7" max="7" width="9" bestFit="1" customWidth="1"/>
    <col min="8" max="8" width="12.21875" customWidth="1"/>
  </cols>
  <sheetData>
    <row r="1" spans="1:8" ht="16.5" thickTop="1" x14ac:dyDescent="0.2">
      <c r="A1" s="167" t="s">
        <v>78</v>
      </c>
      <c r="B1" s="226"/>
      <c r="C1" s="226"/>
      <c r="D1" s="226"/>
      <c r="E1" s="226"/>
      <c r="F1" s="226"/>
      <c r="G1" s="226"/>
      <c r="H1" s="227"/>
    </row>
    <row r="2" spans="1:8" ht="15.75" x14ac:dyDescent="0.2">
      <c r="A2" s="262" t="s">
        <v>221</v>
      </c>
      <c r="B2" s="124"/>
      <c r="C2" s="124"/>
      <c r="D2" s="2"/>
      <c r="E2" s="283" t="s">
        <v>228</v>
      </c>
      <c r="F2" s="283"/>
      <c r="G2" s="124"/>
      <c r="H2" s="130"/>
    </row>
    <row r="3" spans="1:8" ht="16.5" thickBot="1" x14ac:dyDescent="0.25">
      <c r="A3" s="1532" t="s">
        <v>357</v>
      </c>
      <c r="B3" s="1533"/>
      <c r="C3" s="271">
        <f>'Input Data'!D28</f>
        <v>0</v>
      </c>
      <c r="D3" s="263"/>
      <c r="E3" s="202" t="s">
        <v>288</v>
      </c>
      <c r="F3" s="228">
        <f>'Input Data'!D5</f>
        <v>0</v>
      </c>
      <c r="G3" s="139"/>
      <c r="H3" s="201"/>
    </row>
    <row r="4" spans="1:8" ht="15.75" thickTop="1" x14ac:dyDescent="0.2">
      <c r="A4" s="249"/>
      <c r="B4" s="235"/>
      <c r="C4" s="209"/>
      <c r="D4" s="209"/>
      <c r="E4" s="209"/>
      <c r="F4" s="124"/>
      <c r="G4" s="124"/>
      <c r="H4" s="130"/>
    </row>
    <row r="5" spans="1:8" x14ac:dyDescent="0.2">
      <c r="A5" s="255" t="s">
        <v>79</v>
      </c>
      <c r="B5" s="229"/>
      <c r="C5" s="229"/>
      <c r="D5" s="229"/>
      <c r="E5" s="229"/>
      <c r="F5" s="229"/>
      <c r="G5" s="229"/>
      <c r="H5" s="230"/>
    </row>
    <row r="6" spans="1:8" ht="30" x14ac:dyDescent="0.2">
      <c r="A6" s="969" t="s">
        <v>80</v>
      </c>
      <c r="B6" s="970" t="s">
        <v>41</v>
      </c>
      <c r="C6" s="973" t="s">
        <v>26</v>
      </c>
      <c r="D6" s="1008"/>
      <c r="E6" s="970" t="s">
        <v>139</v>
      </c>
      <c r="F6" s="970" t="s">
        <v>81</v>
      </c>
      <c r="G6" s="970" t="s">
        <v>424</v>
      </c>
      <c r="H6" s="971" t="s">
        <v>7</v>
      </c>
    </row>
    <row r="7" spans="1:8" x14ac:dyDescent="0.2">
      <c r="A7" s="324"/>
      <c r="B7" s="286"/>
      <c r="C7" s="292"/>
      <c r="D7" s="293"/>
      <c r="E7" s="286"/>
      <c r="F7" s="286"/>
      <c r="G7" s="289"/>
      <c r="H7" s="909">
        <f>F7*G7</f>
        <v>0</v>
      </c>
    </row>
    <row r="8" spans="1:8" x14ac:dyDescent="0.2">
      <c r="A8" s="258"/>
      <c r="B8" s="253"/>
      <c r="C8" s="259"/>
      <c r="D8" s="252"/>
      <c r="E8" s="253"/>
      <c r="F8" s="253"/>
      <c r="G8" s="260"/>
      <c r="H8" s="910">
        <f t="shared" ref="H8:H16" si="0">F8*G8</f>
        <v>0</v>
      </c>
    </row>
    <row r="9" spans="1:8" x14ac:dyDescent="0.2">
      <c r="A9" s="258"/>
      <c r="B9" s="253"/>
      <c r="C9" s="259"/>
      <c r="D9" s="252"/>
      <c r="E9" s="253"/>
      <c r="F9" s="253"/>
      <c r="G9" s="260"/>
      <c r="H9" s="910">
        <f t="shared" si="0"/>
        <v>0</v>
      </c>
    </row>
    <row r="10" spans="1:8" x14ac:dyDescent="0.2">
      <c r="A10" s="258"/>
      <c r="B10" s="253"/>
      <c r="C10" s="259"/>
      <c r="D10" s="252"/>
      <c r="E10" s="253"/>
      <c r="F10" s="253"/>
      <c r="G10" s="260"/>
      <c r="H10" s="910">
        <f t="shared" si="0"/>
        <v>0</v>
      </c>
    </row>
    <row r="11" spans="1:8" x14ac:dyDescent="0.2">
      <c r="A11" s="258"/>
      <c r="B11" s="253"/>
      <c r="C11" s="259"/>
      <c r="D11" s="252"/>
      <c r="E11" s="253"/>
      <c r="F11" s="253"/>
      <c r="G11" s="260"/>
      <c r="H11" s="910">
        <f t="shared" si="0"/>
        <v>0</v>
      </c>
    </row>
    <row r="12" spans="1:8" x14ac:dyDescent="0.2">
      <c r="A12" s="258"/>
      <c r="B12" s="253"/>
      <c r="C12" s="259"/>
      <c r="D12" s="252"/>
      <c r="E12" s="253"/>
      <c r="F12" s="253"/>
      <c r="G12" s="260"/>
      <c r="H12" s="910">
        <f t="shared" si="0"/>
        <v>0</v>
      </c>
    </row>
    <row r="13" spans="1:8" x14ac:dyDescent="0.2">
      <c r="A13" s="258"/>
      <c r="B13" s="253"/>
      <c r="C13" s="259"/>
      <c r="D13" s="252"/>
      <c r="E13" s="253"/>
      <c r="F13" s="253"/>
      <c r="G13" s="260"/>
      <c r="H13" s="910">
        <f t="shared" si="0"/>
        <v>0</v>
      </c>
    </row>
    <row r="14" spans="1:8" x14ac:dyDescent="0.2">
      <c r="A14" s="258"/>
      <c r="B14" s="253"/>
      <c r="C14" s="259"/>
      <c r="D14" s="252"/>
      <c r="E14" s="253"/>
      <c r="F14" s="253"/>
      <c r="G14" s="260"/>
      <c r="H14" s="910">
        <f t="shared" si="0"/>
        <v>0</v>
      </c>
    </row>
    <row r="15" spans="1:8" x14ac:dyDescent="0.2">
      <c r="A15" s="258"/>
      <c r="B15" s="253"/>
      <c r="C15" s="259"/>
      <c r="D15" s="252"/>
      <c r="E15" s="253"/>
      <c r="F15" s="253"/>
      <c r="G15" s="260"/>
      <c r="H15" s="910">
        <f t="shared" si="0"/>
        <v>0</v>
      </c>
    </row>
    <row r="16" spans="1:8" ht="15.75" thickBot="1" x14ac:dyDescent="0.25">
      <c r="A16" s="345"/>
      <c r="B16" s="346"/>
      <c r="C16" s="347"/>
      <c r="D16" s="348"/>
      <c r="E16" s="346"/>
      <c r="F16" s="346"/>
      <c r="G16" s="349"/>
      <c r="H16" s="911">
        <f t="shared" si="0"/>
        <v>0</v>
      </c>
    </row>
    <row r="17" spans="1:11" ht="15.75" thickBot="1" x14ac:dyDescent="0.25">
      <c r="A17" s="330"/>
      <c r="B17" s="331"/>
      <c r="C17" s="331"/>
      <c r="D17" s="331"/>
      <c r="E17" s="331"/>
      <c r="F17" s="331"/>
      <c r="G17" s="267" t="s">
        <v>82</v>
      </c>
      <c r="H17" s="1009">
        <f>SUM(H7:H16)</f>
        <v>0</v>
      </c>
    </row>
    <row r="18" spans="1:11" ht="15.75" thickTop="1" x14ac:dyDescent="0.2">
      <c r="A18" s="128"/>
      <c r="B18" s="124"/>
      <c r="C18" s="124"/>
      <c r="D18" s="124"/>
      <c r="E18" s="124"/>
      <c r="F18" s="124"/>
      <c r="G18" s="239" t="s">
        <v>358</v>
      </c>
      <c r="H18" s="1010"/>
    </row>
    <row r="19" spans="1:11" x14ac:dyDescent="0.2">
      <c r="A19" s="255" t="s">
        <v>83</v>
      </c>
      <c r="B19" s="233"/>
      <c r="C19" s="233"/>
      <c r="D19" s="233"/>
      <c r="E19" s="233"/>
      <c r="F19" s="233"/>
      <c r="G19" s="233"/>
      <c r="H19" s="986"/>
    </row>
    <row r="20" spans="1:11" ht="45" x14ac:dyDescent="0.2">
      <c r="A20" s="969" t="s">
        <v>4</v>
      </c>
      <c r="B20" s="973" t="s">
        <v>41</v>
      </c>
      <c r="C20" s="1023"/>
      <c r="D20" s="973" t="s">
        <v>26</v>
      </c>
      <c r="E20" s="1008"/>
      <c r="F20" s="970" t="s">
        <v>84</v>
      </c>
      <c r="G20" s="970" t="s">
        <v>85</v>
      </c>
      <c r="H20" s="972" t="s">
        <v>7</v>
      </c>
    </row>
    <row r="21" spans="1:11" x14ac:dyDescent="0.2">
      <c r="A21" s="257"/>
      <c r="B21" s="264"/>
      <c r="C21" s="266"/>
      <c r="D21" s="264"/>
      <c r="E21" s="265"/>
      <c r="F21" s="788"/>
      <c r="G21" s="1003"/>
      <c r="H21" s="1011">
        <f t="shared" ref="H21:H30" si="1">F21*G21</f>
        <v>0</v>
      </c>
    </row>
    <row r="22" spans="1:11" x14ac:dyDescent="0.2">
      <c r="A22" s="258"/>
      <c r="B22" s="259"/>
      <c r="C22" s="251"/>
      <c r="D22" s="259"/>
      <c r="E22" s="252"/>
      <c r="F22" s="260"/>
      <c r="G22" s="1004"/>
      <c r="H22" s="1012">
        <f t="shared" si="1"/>
        <v>0</v>
      </c>
    </row>
    <row r="23" spans="1:11" x14ac:dyDescent="0.2">
      <c r="A23" s="258"/>
      <c r="B23" s="259"/>
      <c r="C23" s="251"/>
      <c r="D23" s="259"/>
      <c r="E23" s="252"/>
      <c r="F23" s="260"/>
      <c r="G23" s="1004"/>
      <c r="H23" s="1012">
        <f t="shared" si="1"/>
        <v>0</v>
      </c>
    </row>
    <row r="24" spans="1:11" x14ac:dyDescent="0.2">
      <c r="A24" s="258"/>
      <c r="B24" s="259"/>
      <c r="C24" s="251"/>
      <c r="D24" s="259"/>
      <c r="E24" s="252"/>
      <c r="F24" s="260"/>
      <c r="G24" s="1004"/>
      <c r="H24" s="1012">
        <f t="shared" si="1"/>
        <v>0</v>
      </c>
    </row>
    <row r="25" spans="1:11" x14ac:dyDescent="0.2">
      <c r="A25" s="258"/>
      <c r="B25" s="259"/>
      <c r="C25" s="251"/>
      <c r="D25" s="259"/>
      <c r="E25" s="252"/>
      <c r="F25" s="260"/>
      <c r="G25" s="1004"/>
      <c r="H25" s="1012">
        <f t="shared" si="1"/>
        <v>0</v>
      </c>
    </row>
    <row r="26" spans="1:11" x14ac:dyDescent="0.2">
      <c r="A26" s="258"/>
      <c r="B26" s="259"/>
      <c r="C26" s="251"/>
      <c r="D26" s="259"/>
      <c r="E26" s="252"/>
      <c r="F26" s="260"/>
      <c r="G26" s="1004"/>
      <c r="H26" s="1012">
        <f t="shared" si="1"/>
        <v>0</v>
      </c>
    </row>
    <row r="27" spans="1:11" x14ac:dyDescent="0.2">
      <c r="A27" s="258"/>
      <c r="B27" s="259"/>
      <c r="C27" s="251"/>
      <c r="D27" s="259"/>
      <c r="E27" s="252"/>
      <c r="F27" s="260"/>
      <c r="G27" s="1004"/>
      <c r="H27" s="1012">
        <f t="shared" si="1"/>
        <v>0</v>
      </c>
      <c r="K27" s="376"/>
    </row>
    <row r="28" spans="1:11" x14ac:dyDescent="0.2">
      <c r="A28" s="258"/>
      <c r="B28" s="259"/>
      <c r="C28" s="251"/>
      <c r="D28" s="259"/>
      <c r="E28" s="252"/>
      <c r="F28" s="260"/>
      <c r="G28" s="1004"/>
      <c r="H28" s="1012">
        <f t="shared" si="1"/>
        <v>0</v>
      </c>
    </row>
    <row r="29" spans="1:11" x14ac:dyDescent="0.2">
      <c r="A29" s="258"/>
      <c r="B29" s="259"/>
      <c r="C29" s="251"/>
      <c r="D29" s="259"/>
      <c r="E29" s="252"/>
      <c r="F29" s="260"/>
      <c r="G29" s="1004"/>
      <c r="H29" s="1012">
        <f t="shared" si="1"/>
        <v>0</v>
      </c>
    </row>
    <row r="30" spans="1:11" ht="15.75" thickBot="1" x14ac:dyDescent="0.25">
      <c r="A30" s="345"/>
      <c r="B30" s="347"/>
      <c r="C30" s="350"/>
      <c r="D30" s="347"/>
      <c r="E30" s="348"/>
      <c r="F30" s="349"/>
      <c r="G30" s="1005"/>
      <c r="H30" s="1013">
        <f t="shared" si="1"/>
        <v>0</v>
      </c>
    </row>
    <row r="31" spans="1:11" ht="15.75" thickBot="1" x14ac:dyDescent="0.25">
      <c r="A31" s="330"/>
      <c r="B31" s="331"/>
      <c r="C31" s="331"/>
      <c r="D31" s="331"/>
      <c r="E31" s="331"/>
      <c r="F31" s="331"/>
      <c r="G31" s="267" t="s">
        <v>86</v>
      </c>
      <c r="H31" s="1009">
        <f>SUM(H21:H30)</f>
        <v>0</v>
      </c>
    </row>
    <row r="32" spans="1:11" ht="15.75" thickTop="1" x14ac:dyDescent="0.2">
      <c r="A32" s="234"/>
      <c r="B32" s="239"/>
      <c r="C32" s="239"/>
      <c r="D32" s="239"/>
      <c r="E32" s="239"/>
      <c r="F32" s="239"/>
      <c r="G32" s="239" t="s">
        <v>358</v>
      </c>
      <c r="H32" s="1010"/>
    </row>
    <row r="33" spans="1:8" x14ac:dyDescent="0.2">
      <c r="A33" s="255" t="s">
        <v>87</v>
      </c>
      <c r="B33" s="229"/>
      <c r="C33" s="229"/>
      <c r="D33" s="229"/>
      <c r="E33" s="229"/>
      <c r="F33" s="229"/>
      <c r="G33" s="229"/>
      <c r="H33" s="987"/>
    </row>
    <row r="34" spans="1:8" ht="45" x14ac:dyDescent="0.2">
      <c r="A34" s="969" t="s">
        <v>4</v>
      </c>
      <c r="B34" s="905" t="s">
        <v>41</v>
      </c>
      <c r="C34" s="1008"/>
      <c r="D34" s="970" t="s">
        <v>88</v>
      </c>
      <c r="E34" s="970" t="s">
        <v>89</v>
      </c>
      <c r="F34" s="970" t="s">
        <v>90</v>
      </c>
      <c r="G34" s="970" t="s">
        <v>425</v>
      </c>
      <c r="H34" s="972" t="s">
        <v>7</v>
      </c>
    </row>
    <row r="35" spans="1:8" x14ac:dyDescent="0.2">
      <c r="A35" s="344"/>
      <c r="B35" s="294"/>
      <c r="C35" s="295"/>
      <c r="D35" s="367"/>
      <c r="E35" s="367"/>
      <c r="F35" s="285"/>
      <c r="G35" s="995"/>
      <c r="H35" s="1014">
        <f>G35*E35</f>
        <v>0</v>
      </c>
    </row>
    <row r="36" spans="1:8" x14ac:dyDescent="0.2">
      <c r="A36" s="258"/>
      <c r="B36" s="259"/>
      <c r="C36" s="252"/>
      <c r="D36" s="365"/>
      <c r="E36" s="365"/>
      <c r="F36" s="253"/>
      <c r="G36" s="996"/>
      <c r="H36" s="1015">
        <f t="shared" ref="H36:H41" si="2">G36*E36</f>
        <v>0</v>
      </c>
    </row>
    <row r="37" spans="1:8" x14ac:dyDescent="0.2">
      <c r="A37" s="258"/>
      <c r="B37" s="259"/>
      <c r="C37" s="252"/>
      <c r="D37" s="365"/>
      <c r="E37" s="365"/>
      <c r="F37" s="253"/>
      <c r="G37" s="996"/>
      <c r="H37" s="1015">
        <f t="shared" si="2"/>
        <v>0</v>
      </c>
    </row>
    <row r="38" spans="1:8" x14ac:dyDescent="0.2">
      <c r="A38" s="258"/>
      <c r="B38" s="259"/>
      <c r="C38" s="252"/>
      <c r="D38" s="365"/>
      <c r="E38" s="365"/>
      <c r="F38" s="253"/>
      <c r="G38" s="996"/>
      <c r="H38" s="1015">
        <f t="shared" si="2"/>
        <v>0</v>
      </c>
    </row>
    <row r="39" spans="1:8" x14ac:dyDescent="0.2">
      <c r="A39" s="258"/>
      <c r="B39" s="259"/>
      <c r="C39" s="252"/>
      <c r="D39" s="365"/>
      <c r="E39" s="365"/>
      <c r="F39" s="253"/>
      <c r="G39" s="996"/>
      <c r="H39" s="1015">
        <f t="shared" si="2"/>
        <v>0</v>
      </c>
    </row>
    <row r="40" spans="1:8" x14ac:dyDescent="0.2">
      <c r="A40" s="258"/>
      <c r="B40" s="259"/>
      <c r="C40" s="252"/>
      <c r="D40" s="365"/>
      <c r="E40" s="365"/>
      <c r="F40" s="253"/>
      <c r="G40" s="996"/>
      <c r="H40" s="1015">
        <f t="shared" si="2"/>
        <v>0</v>
      </c>
    </row>
    <row r="41" spans="1:8" x14ac:dyDescent="0.2">
      <c r="A41" s="258"/>
      <c r="B41" s="259"/>
      <c r="C41" s="252"/>
      <c r="D41" s="365"/>
      <c r="E41" s="365"/>
      <c r="F41" s="253"/>
      <c r="G41" s="996"/>
      <c r="H41" s="1015">
        <f t="shared" si="2"/>
        <v>0</v>
      </c>
    </row>
    <row r="42" spans="1:8" x14ac:dyDescent="0.2">
      <c r="A42" s="258"/>
      <c r="B42" s="259"/>
      <c r="C42" s="252"/>
      <c r="D42" s="365"/>
      <c r="E42" s="365"/>
      <c r="F42" s="253"/>
      <c r="G42" s="996"/>
      <c r="H42" s="1015">
        <f>G42*E42</f>
        <v>0</v>
      </c>
    </row>
    <row r="43" spans="1:8" x14ac:dyDescent="0.2">
      <c r="A43" s="258"/>
      <c r="B43" s="259"/>
      <c r="C43" s="252"/>
      <c r="D43" s="365"/>
      <c r="E43" s="365"/>
      <c r="F43" s="253"/>
      <c r="G43" s="996"/>
      <c r="H43" s="1015">
        <f>G43*E43</f>
        <v>0</v>
      </c>
    </row>
    <row r="44" spans="1:8" ht="15.75" thickBot="1" x14ac:dyDescent="0.25">
      <c r="A44" s="328"/>
      <c r="B44" s="334"/>
      <c r="C44" s="336"/>
      <c r="D44" s="366"/>
      <c r="E44" s="366"/>
      <c r="F44" s="329"/>
      <c r="G44" s="997"/>
      <c r="H44" s="1016">
        <f>G44*E44</f>
        <v>0</v>
      </c>
    </row>
    <row r="45" spans="1:8" ht="15.75" thickBot="1" x14ac:dyDescent="0.25">
      <c r="A45" s="330"/>
      <c r="B45" s="331"/>
      <c r="C45" s="331"/>
      <c r="D45" s="331"/>
      <c r="E45" s="331"/>
      <c r="F45" s="331"/>
      <c r="G45" s="962" t="s">
        <v>229</v>
      </c>
      <c r="H45" s="1017">
        <f>SUM(H35:H44)</f>
        <v>0</v>
      </c>
    </row>
    <row r="46" spans="1:8" ht="15.75" thickTop="1" x14ac:dyDescent="0.2">
      <c r="A46" s="128"/>
      <c r="B46" s="124"/>
      <c r="C46" s="124"/>
      <c r="D46" s="124"/>
      <c r="E46" s="124"/>
      <c r="F46" s="124"/>
      <c r="G46" s="927" t="s">
        <v>358</v>
      </c>
      <c r="H46" s="1010"/>
    </row>
    <row r="47" spans="1:8" x14ac:dyDescent="0.2">
      <c r="A47" s="255" t="s">
        <v>91</v>
      </c>
      <c r="B47" s="229"/>
      <c r="C47" s="229"/>
      <c r="D47" s="229"/>
      <c r="E47" s="229"/>
      <c r="F47" s="229"/>
      <c r="G47" s="998"/>
      <c r="H47" s="987"/>
    </row>
    <row r="48" spans="1:8" ht="45" x14ac:dyDescent="0.2">
      <c r="A48" s="974" t="s">
        <v>4</v>
      </c>
      <c r="B48" s="905" t="s">
        <v>34</v>
      </c>
      <c r="C48" s="1024"/>
      <c r="D48" s="970" t="s">
        <v>92</v>
      </c>
      <c r="E48" s="970" t="s">
        <v>93</v>
      </c>
      <c r="F48" s="970" t="s">
        <v>94</v>
      </c>
      <c r="G48" s="1025" t="s">
        <v>426</v>
      </c>
      <c r="H48" s="972" t="s">
        <v>44</v>
      </c>
    </row>
    <row r="49" spans="1:8" x14ac:dyDescent="0.2">
      <c r="A49" s="257"/>
      <c r="B49" s="264"/>
      <c r="C49" s="268"/>
      <c r="D49" s="254"/>
      <c r="E49" s="254"/>
      <c r="F49" s="254"/>
      <c r="G49" s="1006"/>
      <c r="H49" s="1018">
        <f>G49*F49</f>
        <v>0</v>
      </c>
    </row>
    <row r="50" spans="1:8" x14ac:dyDescent="0.2">
      <c r="A50" s="258"/>
      <c r="B50" s="259"/>
      <c r="C50" s="269"/>
      <c r="D50" s="259"/>
      <c r="E50" s="253"/>
      <c r="F50" s="253"/>
      <c r="G50" s="996"/>
      <c r="H50" s="1015"/>
    </row>
    <row r="51" spans="1:8" x14ac:dyDescent="0.2">
      <c r="A51" s="258"/>
      <c r="B51" s="259"/>
      <c r="C51" s="269"/>
      <c r="D51" s="259"/>
      <c r="E51" s="253"/>
      <c r="F51" s="253"/>
      <c r="G51" s="996"/>
      <c r="H51" s="1015"/>
    </row>
    <row r="52" spans="1:8" x14ac:dyDescent="0.2">
      <c r="A52" s="258"/>
      <c r="B52" s="259"/>
      <c r="C52" s="269"/>
      <c r="D52" s="259"/>
      <c r="E52" s="253"/>
      <c r="F52" s="253"/>
      <c r="G52" s="996"/>
      <c r="H52" s="1015"/>
    </row>
    <row r="53" spans="1:8" x14ac:dyDescent="0.2">
      <c r="A53" s="258"/>
      <c r="B53" s="259"/>
      <c r="C53" s="269"/>
      <c r="D53" s="259"/>
      <c r="E53" s="253"/>
      <c r="F53" s="253"/>
      <c r="G53" s="996"/>
      <c r="H53" s="1015"/>
    </row>
    <row r="54" spans="1:8" x14ac:dyDescent="0.2">
      <c r="A54" s="258"/>
      <c r="B54" s="259"/>
      <c r="C54" s="269"/>
      <c r="D54" s="259"/>
      <c r="E54" s="253"/>
      <c r="F54" s="253"/>
      <c r="G54" s="996"/>
      <c r="H54" s="1015"/>
    </row>
    <row r="55" spans="1:8" ht="15.75" thickBot="1" x14ac:dyDescent="0.25">
      <c r="A55" s="345"/>
      <c r="B55" s="347"/>
      <c r="C55" s="351"/>
      <c r="D55" s="347"/>
      <c r="E55" s="329"/>
      <c r="F55" s="346"/>
      <c r="G55" s="1007"/>
      <c r="H55" s="1019"/>
    </row>
    <row r="56" spans="1:8" ht="15.75" thickBot="1" x14ac:dyDescent="0.25">
      <c r="A56" s="330"/>
      <c r="B56" s="331"/>
      <c r="C56" s="331"/>
      <c r="D56" s="331"/>
      <c r="E56" s="352"/>
      <c r="F56" s="331"/>
      <c r="G56" s="267" t="s">
        <v>95</v>
      </c>
      <c r="H56" s="1009">
        <f>SUM(H49:H55)</f>
        <v>0</v>
      </c>
    </row>
    <row r="57" spans="1:8" ht="16.5" thickTop="1" thickBot="1" x14ac:dyDescent="0.25">
      <c r="A57" s="234"/>
      <c r="B57" s="239"/>
      <c r="C57" s="239"/>
      <c r="D57" s="239"/>
      <c r="E57" s="276"/>
      <c r="F57" s="239"/>
      <c r="G57" s="239" t="s">
        <v>358</v>
      </c>
      <c r="H57" s="1010"/>
    </row>
    <row r="58" spans="1:8" x14ac:dyDescent="0.2">
      <c r="A58" s="514"/>
      <c r="B58" s="515"/>
      <c r="C58" s="515"/>
      <c r="D58" s="515"/>
      <c r="E58" s="515"/>
      <c r="F58" s="515"/>
      <c r="G58" s="516" t="s">
        <v>292</v>
      </c>
      <c r="H58" s="920">
        <f>H17+IF(AND(H31&gt;0,H17&gt;0),0,H31)+H45+H56</f>
        <v>0</v>
      </c>
    </row>
    <row r="59" spans="1:8" ht="15.75" thickBot="1" x14ac:dyDescent="0.25">
      <c r="A59" s="246"/>
      <c r="B59" s="241"/>
      <c r="C59" s="241"/>
      <c r="D59" s="241"/>
      <c r="E59" s="241"/>
      <c r="F59" s="241"/>
      <c r="G59" s="247" t="s">
        <v>358</v>
      </c>
      <c r="H59" s="1020">
        <f>H18+IF(AND(H32&gt;0,H18&gt;0),0,H32)+H46+H57</f>
        <v>0</v>
      </c>
    </row>
    <row r="60" spans="1:8" ht="15.75" thickTop="1" x14ac:dyDescent="0.2">
      <c r="A60" s="270" t="str">
        <f>IF(AND(H31&gt;0,H17&gt;0),"You cannot claim for both Part Time and Full Time supervision","")</f>
        <v/>
      </c>
      <c r="B60" s="243"/>
      <c r="C60" s="243"/>
      <c r="D60" s="243"/>
      <c r="E60" s="243"/>
      <c r="F60" s="243"/>
      <c r="G60" s="245" t="s">
        <v>226</v>
      </c>
      <c r="H60" s="1021">
        <f>H58/1.14</f>
        <v>0</v>
      </c>
    </row>
    <row r="61" spans="1:8" ht="15.75" thickBot="1" x14ac:dyDescent="0.25">
      <c r="A61" s="246"/>
      <c r="B61" s="241"/>
      <c r="C61" s="241"/>
      <c r="D61" s="241"/>
      <c r="E61" s="241"/>
      <c r="F61" s="241"/>
      <c r="G61" s="241" t="s">
        <v>358</v>
      </c>
      <c r="H61" s="1022">
        <f>H59/1.14</f>
        <v>0</v>
      </c>
    </row>
    <row r="62" spans="1:8" ht="15.75" thickTop="1" x14ac:dyDescent="0.2">
      <c r="H62" s="225"/>
    </row>
    <row r="63" spans="1:8" x14ac:dyDescent="0.2">
      <c r="H63" s="225"/>
    </row>
    <row r="64" spans="1:8" x14ac:dyDescent="0.2">
      <c r="H64" s="225"/>
    </row>
    <row r="65" spans="8:8" x14ac:dyDescent="0.2">
      <c r="H65" s="225"/>
    </row>
    <row r="66" spans="8:8" x14ac:dyDescent="0.2">
      <c r="H66" s="225"/>
    </row>
    <row r="67" spans="8:8" x14ac:dyDescent="0.2">
      <c r="H67" s="225"/>
    </row>
    <row r="68" spans="8:8" x14ac:dyDescent="0.2">
      <c r="H68" s="225"/>
    </row>
    <row r="69" spans="8:8" x14ac:dyDescent="0.2">
      <c r="H69" s="225"/>
    </row>
    <row r="70" spans="8:8" x14ac:dyDescent="0.2">
      <c r="H70" s="225"/>
    </row>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1">
    <mergeCell ref="A3:B3"/>
  </mergeCells>
  <phoneticPr fontId="0" type="noConversion"/>
  <pageMargins left="0.94488188976377963" right="0.55118110236220474" top="0.98425196850393704" bottom="0.98425196850393704" header="0.51181102362204722" footer="0.51181102362204722"/>
  <pageSetup paperSize="9" scale="67" orientation="portrait" horizontalDpi="4294967293" verticalDpi="200" r:id="rId2"/>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5"/>
  <sheetViews>
    <sheetView view="pageBreakPreview" zoomScale="75" zoomScaleNormal="75" workbookViewId="0">
      <selection activeCell="B12" sqref="B12:D12"/>
    </sheetView>
  </sheetViews>
  <sheetFormatPr defaultRowHeight="15" x14ac:dyDescent="0.2"/>
  <cols>
    <col min="1" max="1" width="11.33203125" customWidth="1"/>
    <col min="2" max="2" width="15" customWidth="1"/>
    <col min="5" max="5" width="10" customWidth="1"/>
    <col min="9" max="9" width="10.77734375" customWidth="1"/>
  </cols>
  <sheetData>
    <row r="1" spans="1:9" ht="16.5" thickTop="1" x14ac:dyDescent="0.2">
      <c r="A1" s="167" t="s">
        <v>98</v>
      </c>
      <c r="B1" s="226"/>
      <c r="C1" s="226"/>
      <c r="D1" s="226"/>
      <c r="E1" s="226"/>
      <c r="F1" s="226"/>
      <c r="G1" s="226"/>
      <c r="H1" s="226"/>
      <c r="I1" s="227"/>
    </row>
    <row r="2" spans="1:9" ht="15.75" x14ac:dyDescent="0.2">
      <c r="A2" s="262" t="s">
        <v>221</v>
      </c>
      <c r="B2" s="124"/>
      <c r="C2" s="124"/>
      <c r="D2" s="124"/>
      <c r="E2" s="124"/>
      <c r="F2" s="124"/>
      <c r="G2" s="124"/>
      <c r="H2" s="124"/>
      <c r="I2" s="130"/>
    </row>
    <row r="3" spans="1:9" ht="15.75" x14ac:dyDescent="0.2">
      <c r="A3" s="1421" t="s">
        <v>357</v>
      </c>
      <c r="B3" s="1429"/>
      <c r="C3" s="273">
        <f>'Input Data'!D28</f>
        <v>0</v>
      </c>
      <c r="D3" s="124"/>
      <c r="E3" s="124"/>
      <c r="F3" s="275" t="s">
        <v>288</v>
      </c>
      <c r="G3" s="272">
        <f>'Input Data'!D5</f>
        <v>0</v>
      </c>
      <c r="H3" s="124"/>
      <c r="I3" s="130"/>
    </row>
    <row r="4" spans="1:9" ht="15.75" thickBot="1" x14ac:dyDescent="0.25">
      <c r="A4" s="200"/>
      <c r="B4" s="139"/>
      <c r="C4" s="139"/>
      <c r="D4" s="139"/>
      <c r="E4" s="139"/>
      <c r="F4" s="139"/>
      <c r="G4" s="139"/>
      <c r="H4" s="139"/>
      <c r="I4" s="201"/>
    </row>
    <row r="5" spans="1:9" ht="15.75" thickTop="1" x14ac:dyDescent="0.2">
      <c r="A5" s="128"/>
      <c r="B5" s="124"/>
      <c r="C5" s="124"/>
      <c r="D5" s="124"/>
      <c r="E5" s="124"/>
      <c r="F5" s="124"/>
      <c r="G5" s="124"/>
      <c r="H5" s="124"/>
      <c r="I5" s="130"/>
    </row>
    <row r="6" spans="1:9" x14ac:dyDescent="0.2">
      <c r="A6" s="240" t="s">
        <v>99</v>
      </c>
      <c r="B6" s="229"/>
      <c r="C6" s="229"/>
      <c r="D6" s="229"/>
      <c r="E6" s="229"/>
      <c r="F6" s="229"/>
      <c r="G6" s="229"/>
      <c r="H6" s="229"/>
      <c r="I6" s="230"/>
    </row>
    <row r="7" spans="1:9" ht="30" x14ac:dyDescent="0.2">
      <c r="A7" s="231" t="s">
        <v>4</v>
      </c>
      <c r="B7" s="1537" t="s">
        <v>100</v>
      </c>
      <c r="C7" s="1538"/>
      <c r="D7" s="1539"/>
      <c r="E7" s="232" t="s">
        <v>101</v>
      </c>
      <c r="F7" s="1537" t="s">
        <v>34</v>
      </c>
      <c r="G7" s="1538"/>
      <c r="H7" s="1539"/>
      <c r="I7" s="238" t="s">
        <v>44</v>
      </c>
    </row>
    <row r="8" spans="1:9" x14ac:dyDescent="0.2">
      <c r="A8" s="277"/>
      <c r="B8" s="1540"/>
      <c r="C8" s="1541"/>
      <c r="D8" s="1542"/>
      <c r="E8" s="278"/>
      <c r="F8" s="1540"/>
      <c r="G8" s="1541"/>
      <c r="H8" s="1542"/>
      <c r="I8" s="1026"/>
    </row>
    <row r="9" spans="1:9" x14ac:dyDescent="0.2">
      <c r="A9" s="258"/>
      <c r="B9" s="1507"/>
      <c r="C9" s="1517"/>
      <c r="D9" s="1508"/>
      <c r="E9" s="253"/>
      <c r="F9" s="1507"/>
      <c r="G9" s="1517"/>
      <c r="H9" s="1508"/>
      <c r="I9" s="955"/>
    </row>
    <row r="10" spans="1:9" x14ac:dyDescent="0.2">
      <c r="A10" s="258"/>
      <c r="B10" s="1507"/>
      <c r="C10" s="1517"/>
      <c r="D10" s="1508"/>
      <c r="E10" s="253"/>
      <c r="F10" s="1507"/>
      <c r="G10" s="1517"/>
      <c r="H10" s="1508"/>
      <c r="I10" s="955"/>
    </row>
    <row r="11" spans="1:9" x14ac:dyDescent="0.2">
      <c r="A11" s="258"/>
      <c r="B11" s="1507"/>
      <c r="C11" s="1517"/>
      <c r="D11" s="1508"/>
      <c r="E11" s="253"/>
      <c r="F11" s="1507"/>
      <c r="G11" s="1517"/>
      <c r="H11" s="1508"/>
      <c r="I11" s="955"/>
    </row>
    <row r="12" spans="1:9" x14ac:dyDescent="0.2">
      <c r="A12" s="258"/>
      <c r="B12" s="1507"/>
      <c r="C12" s="1517"/>
      <c r="D12" s="1508"/>
      <c r="E12" s="253"/>
      <c r="F12" s="1507"/>
      <c r="G12" s="1517"/>
      <c r="H12" s="1508"/>
      <c r="I12" s="955"/>
    </row>
    <row r="13" spans="1:9" x14ac:dyDescent="0.2">
      <c r="A13" s="258"/>
      <c r="B13" s="1507"/>
      <c r="C13" s="1517"/>
      <c r="D13" s="1508"/>
      <c r="E13" s="253"/>
      <c r="F13" s="1507"/>
      <c r="G13" s="1517"/>
      <c r="H13" s="1508"/>
      <c r="I13" s="955"/>
    </row>
    <row r="14" spans="1:9" x14ac:dyDescent="0.2">
      <c r="A14" s="258"/>
      <c r="B14" s="1507"/>
      <c r="C14" s="1517"/>
      <c r="D14" s="1508"/>
      <c r="E14" s="253"/>
      <c r="F14" s="1507"/>
      <c r="G14" s="1517"/>
      <c r="H14" s="1508"/>
      <c r="I14" s="955"/>
    </row>
    <row r="15" spans="1:9" x14ac:dyDescent="0.2">
      <c r="A15" s="258"/>
      <c r="B15" s="1507"/>
      <c r="C15" s="1517"/>
      <c r="D15" s="1508"/>
      <c r="E15" s="253"/>
      <c r="F15" s="1507"/>
      <c r="G15" s="1517"/>
      <c r="H15" s="1508"/>
      <c r="I15" s="955"/>
    </row>
    <row r="16" spans="1:9" x14ac:dyDescent="0.2">
      <c r="A16" s="258"/>
      <c r="B16" s="1507"/>
      <c r="C16" s="1517"/>
      <c r="D16" s="1508"/>
      <c r="E16" s="253"/>
      <c r="F16" s="1507"/>
      <c r="G16" s="1517"/>
      <c r="H16" s="1508"/>
      <c r="I16" s="955"/>
    </row>
    <row r="17" spans="1:9" ht="15.75" thickBot="1" x14ac:dyDescent="0.25">
      <c r="A17" s="279"/>
      <c r="B17" s="1534"/>
      <c r="C17" s="1535"/>
      <c r="D17" s="1536"/>
      <c r="E17" s="280"/>
      <c r="F17" s="1534"/>
      <c r="G17" s="1535"/>
      <c r="H17" s="1536"/>
      <c r="I17" s="1027"/>
    </row>
    <row r="18" spans="1:9" x14ac:dyDescent="0.2">
      <c r="A18" s="330"/>
      <c r="B18" s="331"/>
      <c r="C18" s="331"/>
      <c r="D18" s="331"/>
      <c r="E18" s="331"/>
      <c r="F18" s="331"/>
      <c r="G18" s="331"/>
      <c r="H18" s="776" t="s">
        <v>104</v>
      </c>
      <c r="I18" s="948">
        <f>SUM(I8:I17)</f>
        <v>0</v>
      </c>
    </row>
    <row r="19" spans="1:9" ht="15.75" thickBot="1" x14ac:dyDescent="0.25">
      <c r="A19" s="128"/>
      <c r="B19" s="124"/>
      <c r="C19" s="124"/>
      <c r="D19" s="124"/>
      <c r="E19" s="124"/>
      <c r="F19" s="124"/>
      <c r="G19" s="124"/>
      <c r="H19" s="777" t="s">
        <v>420</v>
      </c>
      <c r="I19" s="1028">
        <v>0</v>
      </c>
    </row>
    <row r="20" spans="1:9" ht="16.5" thickTop="1" thickBot="1" x14ac:dyDescent="0.25">
      <c r="A20" s="128"/>
      <c r="B20" s="124"/>
      <c r="C20" s="124"/>
      <c r="D20" s="124"/>
      <c r="E20" s="124"/>
      <c r="F20" s="124"/>
      <c r="G20" s="124"/>
      <c r="H20" s="778" t="s">
        <v>421</v>
      </c>
      <c r="I20" s="1029">
        <f>I18-I19</f>
        <v>0</v>
      </c>
    </row>
    <row r="21" spans="1:9" x14ac:dyDescent="0.2">
      <c r="A21" s="353" t="s">
        <v>105</v>
      </c>
      <c r="B21" s="301"/>
      <c r="C21" s="301"/>
      <c r="D21" s="301"/>
      <c r="E21" s="301"/>
      <c r="F21" s="301"/>
      <c r="G21" s="301"/>
      <c r="H21" s="301"/>
      <c r="I21" s="354"/>
    </row>
    <row r="22" spans="1:9" x14ac:dyDescent="0.2">
      <c r="A22" s="249" t="s">
        <v>106</v>
      </c>
      <c r="B22" s="124" t="s">
        <v>102</v>
      </c>
      <c r="C22" s="124"/>
      <c r="D22" s="235" t="s">
        <v>107</v>
      </c>
      <c r="E22" s="124" t="s">
        <v>103</v>
      </c>
      <c r="F22" s="235"/>
      <c r="G22" s="281" t="s">
        <v>108</v>
      </c>
      <c r="H22" s="124"/>
      <c r="I22" s="157"/>
    </row>
    <row r="23" spans="1:9" x14ac:dyDescent="0.2">
      <c r="A23" s="249" t="s">
        <v>109</v>
      </c>
      <c r="B23" s="124" t="s">
        <v>110</v>
      </c>
      <c r="C23" s="124"/>
      <c r="D23" s="235" t="s">
        <v>111</v>
      </c>
      <c r="E23" s="124" t="s">
        <v>112</v>
      </c>
      <c r="F23" s="235"/>
      <c r="G23" s="235" t="s">
        <v>113</v>
      </c>
      <c r="H23" s="124"/>
      <c r="I23" s="157"/>
    </row>
    <row r="24" spans="1:9" ht="15.75" thickBot="1" x14ac:dyDescent="0.25">
      <c r="A24" s="200"/>
      <c r="B24" s="139"/>
      <c r="C24" s="139"/>
      <c r="D24" s="139"/>
      <c r="E24" s="139"/>
      <c r="F24" s="139"/>
      <c r="G24" s="139"/>
      <c r="H24" s="139"/>
      <c r="I24" s="323"/>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A3:B3"/>
    <mergeCell ref="B7:D7"/>
    <mergeCell ref="F7:H7"/>
    <mergeCell ref="B8:D8"/>
    <mergeCell ref="F8:H8"/>
    <mergeCell ref="B9:D9"/>
    <mergeCell ref="F9:H9"/>
    <mergeCell ref="B17:D17"/>
    <mergeCell ref="F17:H17"/>
    <mergeCell ref="B15:D15"/>
    <mergeCell ref="F15:H15"/>
    <mergeCell ref="B16:D16"/>
    <mergeCell ref="F16:H16"/>
    <mergeCell ref="F13:H13"/>
    <mergeCell ref="B14:D14"/>
    <mergeCell ref="F14:H14"/>
    <mergeCell ref="F10:H10"/>
    <mergeCell ref="B11:D11"/>
    <mergeCell ref="F11:H11"/>
    <mergeCell ref="B13:D13"/>
    <mergeCell ref="B12:D12"/>
    <mergeCell ref="F12:H12"/>
    <mergeCell ref="B10:D10"/>
  </mergeCells>
  <phoneticPr fontId="0" type="noConversion"/>
  <printOptions horizontalCentered="1"/>
  <pageMargins left="0.74803149606299213" right="0.55118110236220474" top="0.78740157480314965" bottom="0.78740157480314965" header="0.51181102362204722" footer="0.51181102362204722"/>
  <pageSetup paperSize="9" scale="80" orientation="portrait" horizontalDpi="300" verticalDpi="300"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Notes</vt:lpstr>
      <vt:lpstr>Input Data</vt:lpstr>
      <vt:lpstr>Worked Example</vt:lpstr>
      <vt:lpstr>Civ_Struct_Eng_Tax Invoice </vt:lpstr>
      <vt:lpstr>Scales</vt:lpstr>
      <vt:lpstr>WTW Input</vt:lpstr>
      <vt:lpstr>Worked Example(WTW)</vt:lpstr>
      <vt:lpstr>WTW Calculations</vt:lpstr>
      <vt:lpstr>Previous Payments</vt:lpstr>
      <vt:lpstr>Time Based</vt:lpstr>
      <vt:lpstr>Travelling &amp; Subsistence</vt:lpstr>
      <vt:lpstr>Typing, Duplicating, &amp; Printing</vt:lpstr>
      <vt:lpstr>Site staff &amp; Other</vt:lpstr>
      <vt:lpstr>Non Taxable</vt:lpstr>
      <vt:lpstr>'Civ_Struct_Eng_Tax Invoice '!Print_Area</vt:lpstr>
      <vt:lpstr>'Input Data'!Print_Area</vt:lpstr>
      <vt:lpstr>Notes!Print_Area</vt:lpstr>
      <vt:lpstr>'Site staff &amp; Other'!Print_Area</vt:lpstr>
      <vt:lpstr>'Time Based'!Print_Area</vt:lpstr>
      <vt:lpstr>'Travelling &amp; Subsistence'!Print_Area</vt:lpstr>
      <vt:lpstr>'Worked Example'!Print_Area</vt:lpstr>
      <vt:lpstr>'Worked Example(WTW)'!Print_Area</vt:lpstr>
      <vt:lpstr>'WTW Calculations'!Print_Area</vt:lpstr>
      <vt:lpstr>'WTW Input'!Print_Area</vt:lpstr>
      <vt:lpstr>'Civ_Struct_Eng_Tax Invoice '!Print_Titles</vt:lpstr>
      <vt:lpstr>'Input Data'!Print_Titles</vt:lpstr>
      <vt:lpstr>'Worked Example'!Print_Titles</vt:lpstr>
      <vt:lpstr>'WTW Calculations'!Print_Titles</vt:lpstr>
      <vt:lpstr>SCALE_2012SE1</vt:lpstr>
      <vt:lpstr>SCALE_2012SE2</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Private</cp:lastModifiedBy>
  <cp:lastPrinted>2011-05-17T07:36:40Z</cp:lastPrinted>
  <dcterms:created xsi:type="dcterms:W3CDTF">2000-04-06T11:32:49Z</dcterms:created>
  <dcterms:modified xsi:type="dcterms:W3CDTF">2012-01-25T16:01:49Z</dcterms:modified>
</cp:coreProperties>
</file>